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PUEZUswj2PolcRFWEpk2CdfV88vPGEqtHLYcigI8S5i0KvAaDhzZhtO3DmhNEji5zKkgWnitPKnTctzA52968w==" workbookSaltValue="zsjCQLR3mq2VMD2SlJo/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14" i="16" s="1"/>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R21" i="8"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K21" i="8" s="1"/>
  <c r="AJ14" i="8"/>
  <c r="AI14" i="8"/>
  <c r="S14" i="12" s="1"/>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EL21" i="8"/>
  <c r="EQ21" i="8"/>
  <c r="EN21" i="8"/>
  <c r="K20" i="11"/>
  <c r="BA14" i="16"/>
  <c r="N10" i="11"/>
  <c r="N9" i="11"/>
  <c r="ES21" i="8"/>
  <c r="G20" i="12"/>
  <c r="AQ19" i="11"/>
  <c r="R8" i="9"/>
  <c r="BH11" i="16" s="1"/>
  <c r="EP21" i="8"/>
  <c r="ER21" i="13"/>
  <c r="AL14" i="16"/>
  <c r="EP21" i="19"/>
  <c r="T9" i="11"/>
  <c r="BH19" i="16"/>
  <c r="BL12" i="11"/>
  <c r="S14" i="16"/>
  <c r="P14" i="16"/>
  <c r="F18" i="17"/>
  <c r="AQ18" i="17" s="1"/>
  <c r="K20" i="2"/>
  <c r="N14" i="2"/>
  <c r="T14" i="12"/>
  <c r="BH9" i="11"/>
  <c r="BH13" i="11"/>
  <c r="BW19" i="20"/>
  <c r="BU9" i="17"/>
  <c r="T14" i="16"/>
  <c r="BF12" i="11"/>
  <c r="BH11" i="11"/>
  <c r="BH12" i="16"/>
  <c r="AY20" i="8"/>
  <c r="AY14" i="8"/>
  <c r="S16" i="17"/>
  <c r="L19" i="2"/>
  <c r="T14" i="20"/>
  <c r="T20" i="17"/>
  <c r="BG16" i="13"/>
  <c r="BB20" i="13"/>
  <c r="BE17" i="13"/>
  <c r="BF17" i="13"/>
  <c r="K22" i="20"/>
  <c r="Y22" i="20"/>
  <c r="AC22" i="20"/>
  <c r="AA22" i="20"/>
  <c r="U12" i="11"/>
  <c r="AQ22" i="21"/>
  <c r="U17" i="11"/>
  <c r="AQ22" i="20"/>
  <c r="G14" i="14"/>
  <c r="W22" i="20"/>
  <c r="AL22" i="20"/>
  <c r="AG22" i="20"/>
  <c r="M22" i="20"/>
  <c r="U10" i="11"/>
  <c r="W22" i="21"/>
  <c r="AF22" i="20"/>
  <c r="U18" i="11"/>
  <c r="AE22" i="20"/>
  <c r="L22" i="20"/>
  <c r="N22" i="20"/>
  <c r="I19" i="3" l="1"/>
  <c r="I17" i="3"/>
  <c r="AW20" i="21"/>
  <c r="E14" i="17"/>
  <c r="F14" i="7"/>
  <c r="BD9" i="8"/>
  <c r="BE9" i="8"/>
  <c r="I9" i="7" s="1"/>
  <c r="B19" i="6"/>
  <c r="M14" i="2"/>
  <c r="H12" i="2"/>
  <c r="M20" i="2"/>
  <c r="N20" i="2"/>
  <c r="F13" i="2"/>
  <c r="AL16" i="11"/>
  <c r="BD16" i="13"/>
  <c r="V9" i="16"/>
  <c r="L9" i="2"/>
  <c r="X19" i="16"/>
  <c r="S18" i="17"/>
  <c r="BJ10" i="11"/>
  <c r="AZ11" i="11"/>
  <c r="S11" i="17"/>
  <c r="BV12" i="16"/>
  <c r="AZ9" i="11"/>
  <c r="AZ21" i="11" s="1"/>
  <c r="R10" i="21"/>
  <c r="R14" i="21" s="1"/>
  <c r="BK11" i="11"/>
  <c r="BK12" i="11"/>
  <c r="BF13" i="11"/>
  <c r="BE16" i="13"/>
  <c r="BF16" i="13"/>
  <c r="U9" i="17"/>
  <c r="U21" i="17" s="1"/>
  <c r="L18" i="2"/>
  <c r="L12" i="2"/>
  <c r="BK10" i="11"/>
  <c r="BM9" i="11"/>
  <c r="BG17" i="11"/>
  <c r="BK17" i="11"/>
  <c r="BL10" i="1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Q20" i="17" s="1"/>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AP22" i="20"/>
  <c r="Q22" i="20"/>
  <c r="AZ22" i="20"/>
  <c r="H22" i="20"/>
  <c r="O10" i="11"/>
  <c r="X22" i="20"/>
  <c r="AN22" i="20"/>
  <c r="T22" i="20"/>
  <c r="AD22" i="20"/>
  <c r="AI22" i="20"/>
  <c r="T22" i="21"/>
  <c r="O18" i="11"/>
  <c r="AX22" i="20"/>
  <c r="G20" i="14"/>
  <c r="K9"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J22" i="20"/>
  <c r="S22" i="20"/>
  <c r="AW22" i="11"/>
  <c r="AV22" i="21"/>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<sst xmlns="http://schemas.openxmlformats.org/spreadsheetml/2006/main" count="2229" uniqueCount="978">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</sst>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q2XwAdYXsGxUZ4tnDZjogGdzoQQ7crqxVbfuMghORIsKK+aBxzi9zAwzTLGoHjl6bJXCtGy3sQ5a3gSekBKLw==" saltValue="l1aikNHlyxSQFQOeJCNm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47.782884310618066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46</v>
      </c>
      <c r="D10" s="230">
        <f>IF(ISNUMBER(Datos!I10),Datos!I10," - ")</f>
        <v>46</v>
      </c>
      <c r="E10" s="231">
        <f>IF(ISNUMBER(Datos!J10),Datos!J10," - ")</f>
        <v>27</v>
      </c>
      <c r="F10" s="231">
        <f>IF(ISNUMBER(Datos!K10),Datos!K10," - ")</f>
        <v>21</v>
      </c>
      <c r="G10" s="1193" t="str">
        <f>IF(Datos!E10&lt;&gt;"",Datos!E10,Datos!D10)</f>
        <v>37</v>
      </c>
      <c r="H10" s="232">
        <f>IF(ISNUMBER(Datos!L10),Datos!L10," - ")</f>
        <v>52</v>
      </c>
      <c r="I10" s="1203" t="str">
        <f>IF(ISNUMBER(Datos!AS10/Datos!BM10),Datos!AS10/Datos!BM10," - ")</f>
        <v xml:space="preserve"> - </v>
      </c>
      <c r="J10" s="1204">
        <f>IF(ISNUMBER(Datos!BY10/Datos!CN10),Datos!BY10/Datos!CN10," - ")</f>
        <v>0</v>
      </c>
      <c r="K10" s="235">
        <f t="shared" ref="K10:K13" si="1">IF(ISNUMBER((E10-F10)/C10),(E10-F10)/C10," - ")</f>
        <v>0.13043478260869565</v>
      </c>
      <c r="L10" s="1205">
        <f>IF(ISNUMBER(NºAsuntos!I10/NºAsuntos!G10),(NºAsuntos!I10/NºAsuntos!G10)*11," - ")</f>
        <v>27.238095238095241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46</v>
      </c>
      <c r="D14" s="1210">
        <f>SUBTOTAL(9,D9:D13)</f>
        <v>46</v>
      </c>
      <c r="E14" s="1211">
        <f>SUBTOTAL(9,E9:E13)</f>
        <v>27</v>
      </c>
      <c r="F14" s="1212">
        <f>SUBTOTAL(9,F9:F13)</f>
        <v>21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756</v>
      </c>
      <c r="D16" s="230">
        <f>IF(ISNUMBER(IF(D_I="SI",Datos!I16,Datos!I16+Datos!AC16)),IF(D_I="SI",Datos!I16,Datos!I16+Datos!AC16)," - ")</f>
        <v>756</v>
      </c>
      <c r="E16" s="231">
        <f>IF(ISNUMBER(IF(D_I="SI",Datos!J16,Datos!J16+Datos!AD16)),IF(D_I="SI",Datos!J16,Datos!J16+Datos!AD16)," - ")</f>
        <v>1112</v>
      </c>
      <c r="F16" s="231">
        <f>IF(ISNUMBER(IF(D_I="SI",Datos!K16,Datos!K16+Datos!AE16)),IF(D_I="SI",Datos!K16,Datos!K16+Datos!AE16)," - ")</f>
        <v>785</v>
      </c>
      <c r="G16" s="1193" t="str">
        <f>IF(Datos!E16&lt;&gt;"",Datos!E16,Datos!D16)</f>
        <v>03</v>
      </c>
      <c r="H16" s="232">
        <f>IF(ISNUMBER(IF(D_I="SI",Datos!L16,Datos!L16+Datos!AF16)),IF(D_I="SI",Datos!L16,Datos!L16+Datos!AF16)," - ")</f>
        <v>1083</v>
      </c>
      <c r="I16" s="1203" t="str">
        <f>IF(ISNUMBER(Datos!AS16/Datos!BM16),Datos!AS16/Datos!BM16," - ")</f>
        <v xml:space="preserve"> - </v>
      </c>
      <c r="J16" s="1204">
        <f>IF(ISNUMBER(Datos!BY16/Datos!CN16),Datos!BY16/Datos!CN16," - ")</f>
        <v>0</v>
      </c>
      <c r="K16" s="235">
        <f t="shared" ref="K16:K19" si="3">IF(ISNUMBER((E16-F16)/C16),(E16-F16)/C16," - ")</f>
        <v>0.43253968253968256</v>
      </c>
      <c r="L16" s="1205">
        <f>IF(ISNUMBER(NºAsuntos!I16/NºAsuntos!G16),(NºAsuntos!I16/NºAsuntos!G16)*11," - ")</f>
        <v>15.175796178343948</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97</v>
      </c>
      <c r="D18" s="230">
        <f>IF(ISNUMBER(IF(D_I="SI",Datos!I18,Datos!I18+Datos!AC18)),IF(D_I="SI",Datos!I18,Datos!I18+Datos!AC18)," - ")</f>
        <v>131</v>
      </c>
      <c r="E18" s="231">
        <f>IF(ISNUMBER(IF(D_I="SI",Datos!J18,Datos!J18+Datos!AD18)),IF(D_I="SI",Datos!J18,Datos!J18+Datos!AD18)," - ")</f>
        <v>404</v>
      </c>
      <c r="F18" s="231">
        <f>IF(ISNUMBER(IF(D_I="SI",Datos!K18,Datos!K18+Datos!AE18)),IF(D_I="SI",Datos!K18,Datos!K18+Datos!AE18)," - ")</f>
        <v>374</v>
      </c>
      <c r="G18" s="1193" t="str">
        <f>IF(Datos!E18&lt;&gt;"",Datos!E18,Datos!D18)</f>
        <v>37</v>
      </c>
      <c r="H18" s="232">
        <f>IF(ISNUMBER(IF(D_I="SI",Datos!L18,Datos!L18+Datos!AF18)),IF(D_I="SI",Datos!L18,Datos!L18+Datos!AF18)," - ")</f>
        <v>127</v>
      </c>
      <c r="I18" s="1203" t="str">
        <f>IF(ISNUMBER(Datos!AS18/Datos!BM18),Datos!AS18/Datos!BM18," - ")</f>
        <v xml:space="preserve"> - </v>
      </c>
      <c r="J18" s="1204" t="str">
        <f>IF(ISNUMBER((Datos!BY18+Datos!BZ18)/Datos!CN18),(Datos!BY18+Datos!BZ18)/Datos!CN18," - ")</f>
        <v xml:space="preserve"> - </v>
      </c>
      <c r="K18" s="235">
        <f t="shared" si="3"/>
        <v>0.30927835051546393</v>
      </c>
      <c r="L18" s="1205">
        <f>IF(ISNUMBER(NºAsuntos!I18/NºAsuntos!G18),(NºAsuntos!I18/NºAsuntos!G18)*11," - ")</f>
        <v>3.7352941176470589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853</v>
      </c>
      <c r="D20" s="1210">
        <f>SUBTOTAL(9,D16:D19)</f>
        <v>887</v>
      </c>
      <c r="E20" s="1211">
        <f>SUBTOTAL(9,E16:E19)</f>
        <v>1516</v>
      </c>
      <c r="F20" s="1211">
        <f>SUBTOTAL(9,F16:F19)</f>
        <v>1159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899</v>
      </c>
      <c r="D21" s="1232">
        <f>SUBTOTAL(9,D9:D20)</f>
        <v>933</v>
      </c>
      <c r="E21" s="1233">
        <f>SUBTOTAL(9,E9:E20)</f>
        <v>1543</v>
      </c>
      <c r="F21" s="1233">
        <f>SUBTOTAL(9,F9:F20)</f>
        <v>1180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P+/NBgi73ieiF9cnhXJpZtUIUZagnNCjge/JoWDQRQlQgJlc5bJvUphwyIqlp8vNXx+vhHYxqHJ2krSNiEr6A==" saltValue="NNfK4mmf9qFI8QIB5r6jq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6Bz8O4tU0T1RPHD6yyunSiwtDfoikxPicniFHWYp76CdjHaBsKPQ1efQ4oU7XSetgJWXBSavUprApmbTUwj8A==" saltValue="Cj95XFbaVpzCbXHLUWG6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1862</v>
      </c>
      <c r="J9" s="186">
        <v>1317</v>
      </c>
      <c r="K9" s="186">
        <v>507</v>
      </c>
      <c r="L9" s="186">
        <v>2579</v>
      </c>
      <c r="M9" s="186">
        <v>284</v>
      </c>
      <c r="N9" s="186">
        <v>191</v>
      </c>
      <c r="O9" s="186">
        <v>259</v>
      </c>
      <c r="P9" s="186">
        <v>405</v>
      </c>
      <c r="Q9" s="186">
        <v>245</v>
      </c>
      <c r="R9" s="186">
        <v>3147</v>
      </c>
      <c r="S9" s="186">
        <v>0</v>
      </c>
      <c r="T9" s="186">
        <v>0</v>
      </c>
      <c r="U9" s="186">
        <v>0</v>
      </c>
      <c r="V9" s="186">
        <v>0</v>
      </c>
      <c r="W9" s="186">
        <v>0</v>
      </c>
      <c r="X9" s="193">
        <v>0</v>
      </c>
      <c r="Y9" s="196">
        <v>103</v>
      </c>
      <c r="Z9" s="186">
        <v>183</v>
      </c>
      <c r="AA9" s="186">
        <v>124</v>
      </c>
      <c r="AB9" s="186">
        <v>162</v>
      </c>
      <c r="AC9" s="186">
        <v>0</v>
      </c>
      <c r="AD9" s="186">
        <v>0</v>
      </c>
      <c r="AE9" s="186">
        <v>0</v>
      </c>
      <c r="AF9" s="193">
        <v>0</v>
      </c>
      <c r="AG9" s="196">
        <v>0</v>
      </c>
      <c r="AH9" s="186">
        <v>0</v>
      </c>
      <c r="AI9" s="186">
        <v>0</v>
      </c>
      <c r="AJ9" s="197">
        <v>0</v>
      </c>
      <c r="AK9" s="185">
        <v>0</v>
      </c>
      <c r="AL9" s="186">
        <v>0</v>
      </c>
      <c r="AM9" s="186">
        <v>0</v>
      </c>
      <c r="AN9" s="193">
        <v>0</v>
      </c>
      <c r="AO9" s="263">
        <v>5</v>
      </c>
      <c r="AP9" s="159">
        <v>5</v>
      </c>
      <c r="AQ9" s="159">
        <v>5</v>
      </c>
      <c r="AR9" s="198">
        <v>5</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f>IF(ISNUMBER(X9),X9," - ")</f>
        <v>0</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46</v>
      </c>
      <c r="J10" s="186">
        <v>27</v>
      </c>
      <c r="K10" s="186">
        <v>21</v>
      </c>
      <c r="L10" s="186">
        <v>52</v>
      </c>
      <c r="M10" s="186">
        <v>11</v>
      </c>
      <c r="N10" s="186">
        <v>6</v>
      </c>
      <c r="O10" s="186">
        <v>4</v>
      </c>
      <c r="P10" s="186">
        <v>2</v>
      </c>
      <c r="Q10" s="186">
        <v>0</v>
      </c>
      <c r="R10" s="186">
        <v>16</v>
      </c>
      <c r="S10" s="186">
        <v>42</v>
      </c>
      <c r="T10" s="186">
        <v>13</v>
      </c>
      <c r="U10" s="186">
        <v>27</v>
      </c>
      <c r="V10" s="186">
        <v>28</v>
      </c>
      <c r="W10" s="186">
        <v>13</v>
      </c>
      <c r="X10" s="193">
        <v>9</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1</v>
      </c>
      <c r="AQ10" s="159">
        <v>1</v>
      </c>
      <c r="AR10" s="160">
        <v>1</v>
      </c>
      <c r="AS10" s="349" t="s">
        <v>865</v>
      </c>
      <c r="AT10" s="197"/>
      <c r="AU10" s="205"/>
      <c r="AV10" s="197"/>
      <c r="AW10" s="205"/>
      <c r="AX10" s="197"/>
      <c r="AY10" s="130">
        <f t="shared" ref="AY10:BC10" si="0">IF(ISNUMBER(S10),S10," - ")</f>
        <v>42</v>
      </c>
      <c r="AZ10" s="131">
        <f t="shared" si="0"/>
        <v>13</v>
      </c>
      <c r="BA10" s="131">
        <f t="shared" si="0"/>
        <v>27</v>
      </c>
      <c r="BB10" s="131">
        <f t="shared" si="0"/>
        <v>28</v>
      </c>
      <c r="BC10" s="127">
        <f t="shared" si="0"/>
        <v>13</v>
      </c>
      <c r="BD10" s="128">
        <f>IF(ISNUMBER(BA10/AZ10),BA10/AZ10," - ")</f>
        <v>2.0769230769230771</v>
      </c>
      <c r="BE10" s="129">
        <f>IF(ISNUMBER(BB10/BA10),BB10/BA10, " - ")</f>
        <v>1.037037037037037</v>
      </c>
      <c r="BF10" s="129">
        <f>IF(ISNUMBER(BC10/BA10),BC10/BA10, " - ")</f>
        <v>0.48148148148148145</v>
      </c>
      <c r="BG10" s="201">
        <f>IF(ISNUMBER((AY10+AZ10)/BA10),(AY10+AZ10)/BA10," - ")</f>
        <v>2.0370370370370372</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1908</v>
      </c>
      <c r="J14" s="189">
        <f t="shared" si="7"/>
        <v>1344</v>
      </c>
      <c r="K14" s="189">
        <f t="shared" si="7"/>
        <v>528</v>
      </c>
      <c r="L14" s="189">
        <f t="shared" si="7"/>
        <v>2631</v>
      </c>
      <c r="M14" s="189">
        <f t="shared" si="7"/>
        <v>295</v>
      </c>
      <c r="N14" s="189">
        <f t="shared" si="7"/>
        <v>197</v>
      </c>
      <c r="O14" s="189">
        <f t="shared" si="7"/>
        <v>263</v>
      </c>
      <c r="P14" s="189">
        <f t="shared" si="7"/>
        <v>407</v>
      </c>
      <c r="Q14" s="189">
        <f t="shared" si="7"/>
        <v>245</v>
      </c>
      <c r="R14" s="189">
        <f t="shared" si="7"/>
        <v>3163</v>
      </c>
      <c r="S14" s="189">
        <f t="shared" si="7"/>
        <v>42</v>
      </c>
      <c r="T14" s="189">
        <f t="shared" si="7"/>
        <v>13</v>
      </c>
      <c r="U14" s="189">
        <f t="shared" si="7"/>
        <v>27</v>
      </c>
      <c r="V14" s="189">
        <f t="shared" si="7"/>
        <v>28</v>
      </c>
      <c r="W14" s="189">
        <f t="shared" si="7"/>
        <v>13</v>
      </c>
      <c r="X14" s="189">
        <f t="shared" si="7"/>
        <v>9</v>
      </c>
      <c r="Y14" s="189">
        <f t="shared" si="7"/>
        <v>103</v>
      </c>
      <c r="Z14" s="189">
        <f t="shared" si="7"/>
        <v>183</v>
      </c>
      <c r="AA14" s="189">
        <f t="shared" si="7"/>
        <v>124</v>
      </c>
      <c r="AB14" s="189">
        <f t="shared" si="7"/>
        <v>162</v>
      </c>
      <c r="AC14" s="189">
        <f t="shared" si="7"/>
        <v>0</v>
      </c>
      <c r="AD14" s="189">
        <f t="shared" si="7"/>
        <v>0</v>
      </c>
      <c r="AE14" s="189">
        <f t="shared" si="7"/>
        <v>0</v>
      </c>
      <c r="AF14" s="189">
        <f>SUBTOTAL(9,AF9:AF13)</f>
        <v>0</v>
      </c>
      <c r="AG14" s="189">
        <f t="shared" ref="AG14:AT14" si="8">SUBTOTAL(9,AG8:AG13)</f>
        <v>0</v>
      </c>
      <c r="AH14" s="189">
        <f t="shared" si="8"/>
        <v>0</v>
      </c>
      <c r="AI14" s="189">
        <f t="shared" si="8"/>
        <v>0</v>
      </c>
      <c r="AJ14" s="189">
        <f t="shared" si="8"/>
        <v>0</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42</v>
      </c>
      <c r="AZ14" s="189">
        <f>SUBTOTAL(9,AZ8:AZ13)</f>
        <v>13</v>
      </c>
      <c r="BA14" s="189">
        <f>SUBTOTAL(9,BA8:BA13)</f>
        <v>27</v>
      </c>
      <c r="BB14" s="189">
        <f>SUBTOTAL(9,BB8:BB13)</f>
        <v>28</v>
      </c>
      <c r="BC14" s="189">
        <f>SUBTOTAL(9,BC8:BC13)</f>
        <v>13</v>
      </c>
      <c r="BD14" s="210">
        <f>IF(ISNUMBER(BA14/AZ14),BA14/AZ14," - ")</f>
        <v>2.0769230769230771</v>
      </c>
      <c r="BE14" s="211">
        <f>IF(ISNUMBER(BB14/BA14),BB14/BA14, " - ")</f>
        <v>1.037037037037037</v>
      </c>
      <c r="BF14" s="211">
        <f>IF(ISNUMBER(BC14/BA14),BC14/BA14, " - ")</f>
        <v>0.48148148148148145</v>
      </c>
      <c r="BG14" s="212">
        <f>IF(ISNUMBER((AY14+AZ14)/BA14),(AY14+AZ14)/BA14," - ")</f>
        <v>2.0370370370370372</v>
      </c>
      <c r="BH14" s="145">
        <f>SUBTOTAL(9,BH8:BH13)</f>
        <v>10</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756</v>
      </c>
      <c r="J16" s="188">
        <v>1112</v>
      </c>
      <c r="K16" s="188">
        <v>785</v>
      </c>
      <c r="L16" s="188">
        <v>1083</v>
      </c>
      <c r="M16" s="188">
        <v>69</v>
      </c>
      <c r="N16" s="188">
        <v>481</v>
      </c>
      <c r="O16" s="186">
        <v>0</v>
      </c>
      <c r="P16" s="188">
        <v>27</v>
      </c>
      <c r="Q16" s="188">
        <v>42</v>
      </c>
      <c r="R16" s="188">
        <v>112</v>
      </c>
      <c r="S16" s="188">
        <v>0</v>
      </c>
      <c r="T16" s="188">
        <v>0</v>
      </c>
      <c r="U16" s="188">
        <v>0</v>
      </c>
      <c r="V16" s="188">
        <v>0</v>
      </c>
      <c r="W16" s="188">
        <v>0</v>
      </c>
      <c r="X16" s="194">
        <v>0</v>
      </c>
      <c r="Y16" s="207">
        <v>0</v>
      </c>
      <c r="Z16" s="188">
        <v>0</v>
      </c>
      <c r="AA16" s="188">
        <v>0</v>
      </c>
      <c r="AB16" s="188">
        <v>0</v>
      </c>
      <c r="AC16" s="188">
        <v>0</v>
      </c>
      <c r="AD16" s="188">
        <v>29</v>
      </c>
      <c r="AE16" s="188">
        <v>20</v>
      </c>
      <c r="AF16" s="194">
        <v>9</v>
      </c>
      <c r="AG16" s="207">
        <v>0</v>
      </c>
      <c r="AH16" s="188">
        <v>0</v>
      </c>
      <c r="AI16" s="188">
        <v>0</v>
      </c>
      <c r="AJ16" s="208">
        <v>0</v>
      </c>
      <c r="AK16" s="187">
        <v>0</v>
      </c>
      <c r="AL16" s="188">
        <v>0</v>
      </c>
      <c r="AM16" s="188">
        <v>0</v>
      </c>
      <c r="AN16" s="194">
        <v>0</v>
      </c>
      <c r="AO16" s="264">
        <v>3</v>
      </c>
      <c r="AP16" s="160">
        <v>3</v>
      </c>
      <c r="AQ16" s="160">
        <v>3</v>
      </c>
      <c r="AR16" s="160">
        <v>3</v>
      </c>
      <c r="AS16" s="350" t="s">
        <v>588</v>
      </c>
      <c r="AT16" s="208" t="s">
        <v>360</v>
      </c>
      <c r="AU16" s="207"/>
      <c r="AV16" s="208"/>
      <c r="AW16" s="207"/>
      <c r="AX16" s="208"/>
      <c r="AY16" s="130">
        <f t="shared" ref="AY16:BB17" si="10">IF(ISNUMBER(IF(D_I="SI",S16,S16+AK16)),IF(D_I="SI",S16,S16+AK16)," - ")</f>
        <v>0</v>
      </c>
      <c r="AZ16" s="131">
        <f t="shared" si="10"/>
        <v>0</v>
      </c>
      <c r="BA16" s="131">
        <f t="shared" si="10"/>
        <v>0</v>
      </c>
      <c r="BB16" s="131">
        <f t="shared" si="10"/>
        <v>0</v>
      </c>
      <c r="BC16" s="127">
        <f>IF(ISNUMBER(W16),W16," - ")</f>
        <v>0</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131</v>
      </c>
      <c r="J18" s="188">
        <v>404</v>
      </c>
      <c r="K18" s="188">
        <v>374</v>
      </c>
      <c r="L18" s="188">
        <v>127</v>
      </c>
      <c r="M18" s="188">
        <v>68</v>
      </c>
      <c r="N18" s="188">
        <v>146</v>
      </c>
      <c r="O18" s="188">
        <v>2</v>
      </c>
      <c r="P18" s="188">
        <v>1</v>
      </c>
      <c r="Q18" s="188">
        <v>4</v>
      </c>
      <c r="R18" s="188">
        <v>3</v>
      </c>
      <c r="S18" s="188">
        <v>91</v>
      </c>
      <c r="T18" s="188">
        <v>105</v>
      </c>
      <c r="U18" s="188">
        <v>98</v>
      </c>
      <c r="V18" s="188">
        <v>99</v>
      </c>
      <c r="W18" s="188">
        <v>13</v>
      </c>
      <c r="X18" s="194">
        <v>69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1</v>
      </c>
      <c r="AQ18" s="159">
        <v>1</v>
      </c>
      <c r="AR18" s="160">
        <v>1</v>
      </c>
      <c r="AS18" s="349" t="s">
        <v>864</v>
      </c>
      <c r="AT18" s="214"/>
      <c r="AU18" s="205"/>
      <c r="AV18" s="214"/>
      <c r="AW18" s="205"/>
      <c r="AX18" s="214"/>
      <c r="AY18" s="130">
        <f t="shared" ref="AY18:BB19" si="15">IF(ISNUMBER(S18),S18," - ")</f>
        <v>91</v>
      </c>
      <c r="AZ18" s="131">
        <f t="shared" si="15"/>
        <v>105</v>
      </c>
      <c r="BA18" s="131">
        <f t="shared" si="15"/>
        <v>98</v>
      </c>
      <c r="BB18" s="131">
        <f t="shared" si="15"/>
        <v>99</v>
      </c>
      <c r="BC18" s="127">
        <f>IF(ISNUMBER(W18),W18," - ")</f>
        <v>13</v>
      </c>
      <c r="BD18" s="128">
        <f>IF(ISNUMBER(BA18/AZ18),BA18/AZ18," - ")</f>
        <v>0.93333333333333335</v>
      </c>
      <c r="BE18" s="129">
        <f>IF(ISNUMBER(BB18/BA18),BB18/BA18, " - ")</f>
        <v>1.010204081632653</v>
      </c>
      <c r="BF18" s="129">
        <f>IF(ISNUMBER(BC18/BA18),BC18/BA18, " - ")</f>
        <v>0.1326530612244898</v>
      </c>
      <c r="BG18" s="201">
        <f>IF(ISNUMBER((AY18+AZ18)/BA18),(AY18+AZ18)/BA18," - ")</f>
        <v>2</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887</v>
      </c>
      <c r="J20" s="189">
        <f t="shared" si="16"/>
        <v>1516</v>
      </c>
      <c r="K20" s="189">
        <f t="shared" si="16"/>
        <v>1159</v>
      </c>
      <c r="L20" s="189">
        <f t="shared" si="16"/>
        <v>1210</v>
      </c>
      <c r="M20" s="189">
        <f t="shared" si="16"/>
        <v>137</v>
      </c>
      <c r="N20" s="189">
        <f t="shared" si="16"/>
        <v>627</v>
      </c>
      <c r="O20" s="189">
        <f t="shared" si="16"/>
        <v>2</v>
      </c>
      <c r="P20" s="189">
        <f t="shared" si="16"/>
        <v>28</v>
      </c>
      <c r="Q20" s="189">
        <f t="shared" si="16"/>
        <v>46</v>
      </c>
      <c r="R20" s="189">
        <f t="shared" si="16"/>
        <v>115</v>
      </c>
      <c r="S20" s="189">
        <f t="shared" si="16"/>
        <v>91</v>
      </c>
      <c r="T20" s="189">
        <f t="shared" si="16"/>
        <v>105</v>
      </c>
      <c r="U20" s="189">
        <f t="shared" si="16"/>
        <v>98</v>
      </c>
      <c r="V20" s="189">
        <f t="shared" si="16"/>
        <v>99</v>
      </c>
      <c r="W20" s="189">
        <f t="shared" si="16"/>
        <v>13</v>
      </c>
      <c r="X20" s="189">
        <f t="shared" si="16"/>
        <v>69</v>
      </c>
      <c r="Y20" s="189">
        <f t="shared" si="16"/>
        <v>0</v>
      </c>
      <c r="Z20" s="189">
        <f t="shared" si="16"/>
        <v>0</v>
      </c>
      <c r="AA20" s="189">
        <f t="shared" si="16"/>
        <v>0</v>
      </c>
      <c r="AB20" s="189">
        <f t="shared" si="16"/>
        <v>0</v>
      </c>
      <c r="AC20" s="189">
        <f t="shared" si="16"/>
        <v>0</v>
      </c>
      <c r="AD20" s="189">
        <f t="shared" si="16"/>
        <v>29</v>
      </c>
      <c r="AE20" s="189">
        <f t="shared" si="16"/>
        <v>20</v>
      </c>
      <c r="AF20" s="189">
        <f t="shared" si="16"/>
        <v>9</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91</v>
      </c>
      <c r="AZ20" s="189">
        <f>SUBTOTAL(9,AZ15:AZ19)</f>
        <v>105</v>
      </c>
      <c r="BA20" s="189">
        <f>SUBTOTAL(9,BA15:BA19)</f>
        <v>98</v>
      </c>
      <c r="BB20" s="189">
        <f>SUBTOTAL(9,BB15:BB19)</f>
        <v>99</v>
      </c>
      <c r="BC20" s="189">
        <f>SUBTOTAL(9,BC15:BC19)</f>
        <v>13</v>
      </c>
      <c r="BD20" s="210">
        <f>IF(ISNUMBER(BA20/AZ20),BA20/AZ20," - ")</f>
        <v>0.93333333333333335</v>
      </c>
      <c r="BE20" s="211">
        <f>IF(ISNUMBER(BB20/BA20),BB20/BA20, " - ")</f>
        <v>1.010204081632653</v>
      </c>
      <c r="BF20" s="211">
        <f>IF(ISNUMBER(BC20/BA20),BC20/BA20, " - ")</f>
        <v>0.1326530612244898</v>
      </c>
      <c r="BG20" s="212">
        <f>IF(ISNUMBER((AY20+AZ20)/BA20),(AY20+AZ20)/BA20," - ")</f>
        <v>2</v>
      </c>
      <c r="BH20" s="189">
        <f>SUBTOTAL(9,BH15:BH19)</f>
        <v>10</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2795</v>
      </c>
      <c r="J21" s="136">
        <f t="shared" si="19"/>
        <v>2860</v>
      </c>
      <c r="K21" s="136">
        <f t="shared" si="19"/>
        <v>1687</v>
      </c>
      <c r="L21" s="136">
        <f t="shared" si="19"/>
        <v>3841</v>
      </c>
      <c r="M21" s="136">
        <f t="shared" si="19"/>
        <v>432</v>
      </c>
      <c r="N21" s="136">
        <f t="shared" si="19"/>
        <v>824</v>
      </c>
      <c r="O21" s="136">
        <f t="shared" si="19"/>
        <v>265</v>
      </c>
      <c r="P21" s="136">
        <f t="shared" si="19"/>
        <v>435</v>
      </c>
      <c r="Q21" s="136">
        <f t="shared" si="19"/>
        <v>291</v>
      </c>
      <c r="R21" s="136">
        <f t="shared" si="19"/>
        <v>3278</v>
      </c>
      <c r="S21" s="136">
        <f t="shared" si="19"/>
        <v>133</v>
      </c>
      <c r="T21" s="136">
        <f t="shared" si="19"/>
        <v>118</v>
      </c>
      <c r="U21" s="136">
        <f t="shared" si="19"/>
        <v>125</v>
      </c>
      <c r="V21" s="136">
        <f t="shared" si="19"/>
        <v>127</v>
      </c>
      <c r="W21" s="136">
        <f t="shared" si="19"/>
        <v>26</v>
      </c>
      <c r="X21" s="136">
        <f t="shared" si="19"/>
        <v>78</v>
      </c>
      <c r="Y21" s="136">
        <f t="shared" si="19"/>
        <v>103</v>
      </c>
      <c r="Z21" s="136">
        <f t="shared" si="19"/>
        <v>183</v>
      </c>
      <c r="AA21" s="136">
        <f t="shared" si="19"/>
        <v>124</v>
      </c>
      <c r="AB21" s="136">
        <f t="shared" si="19"/>
        <v>162</v>
      </c>
      <c r="AC21" s="136">
        <f t="shared" si="19"/>
        <v>0</v>
      </c>
      <c r="AD21" s="136">
        <f t="shared" si="19"/>
        <v>29</v>
      </c>
      <c r="AE21" s="136">
        <f t="shared" si="19"/>
        <v>20</v>
      </c>
      <c r="AF21" s="136">
        <f t="shared" si="19"/>
        <v>9</v>
      </c>
      <c r="AG21" s="136">
        <f t="shared" si="19"/>
        <v>0</v>
      </c>
      <c r="AH21" s="136">
        <f t="shared" si="19"/>
        <v>0</v>
      </c>
      <c r="AI21" s="136">
        <f t="shared" si="19"/>
        <v>0</v>
      </c>
      <c r="AJ21" s="136">
        <f t="shared" si="19"/>
        <v>0</v>
      </c>
      <c r="AK21" s="136">
        <f t="shared" si="19"/>
        <v>0</v>
      </c>
      <c r="AL21" s="136">
        <f t="shared" si="19"/>
        <v>0</v>
      </c>
      <c r="AM21" s="136">
        <f t="shared" si="19"/>
        <v>0</v>
      </c>
      <c r="AN21" s="215">
        <f t="shared" si="19"/>
        <v>0</v>
      </c>
      <c r="AO21" s="216">
        <v>10</v>
      </c>
      <c r="AP21" s="216">
        <v>9</v>
      </c>
      <c r="AQ21" s="216">
        <v>9</v>
      </c>
      <c r="AR21" s="216">
        <v>9</v>
      </c>
      <c r="AS21" s="158">
        <f t="shared" si="19"/>
        <v>0</v>
      </c>
      <c r="AT21" s="158">
        <f t="shared" si="19"/>
        <v>0</v>
      </c>
      <c r="AU21" s="216"/>
      <c r="AV21" s="217"/>
      <c r="AW21" s="216"/>
      <c r="AX21" s="217"/>
      <c r="AY21" s="135">
        <f>SUBTOTAL(9,AY9:AY20)</f>
        <v>133</v>
      </c>
      <c r="AZ21" s="136">
        <f>SUBTOTAL(9,AZ9:AZ20)</f>
        <v>118</v>
      </c>
      <c r="BA21" s="136">
        <f>SUBTOTAL(9,BA9:BA20)</f>
        <v>125</v>
      </c>
      <c r="BB21" s="136">
        <f>SUBTOTAL(9,BB9:BB20)</f>
        <v>127</v>
      </c>
      <c r="BC21" s="137">
        <f>SUBTOTAL(9,BC9:BC20)</f>
        <v>26</v>
      </c>
      <c r="BD21" s="218">
        <f>IF(ISNUMBER(BA21/AZ21),BA21/AZ21," - ")</f>
        <v>1.0593220338983051</v>
      </c>
      <c r="BE21" s="215">
        <f>IF(ISNUMBER(BB21/BA21),BB21/BA21, " - ")</f>
        <v>1.016</v>
      </c>
      <c r="BF21" s="215">
        <f>IF(ISNUMBER(BC21/BA21),BC21/BA21, " - ")</f>
        <v>0.20799999999999999</v>
      </c>
      <c r="BG21" s="137">
        <f>IF(ISNUMBER((AY21+AZ21)/BA21),(AY21+AZ21)/BA21," - ")</f>
        <v>2.008</v>
      </c>
      <c r="BH21" s="216">
        <f>SUBTOTAL(9,BH9:BH20)</f>
        <v>20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uX9UfbFe70k8eM0Z7VsrAl8ueg5ef0XDgMV2AUaMxefAK9IR0hqPaOLOMSRU0BeQDsLKA8utxQcSrf4wR/RsA==" saltValue="3Cz0EMByd34ky8pWNn0u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A1yBpbccdXEd4sTiDe0bfPKbr/CxzEKJhp65+XrLgHwuZJHdje0XHOTaSW1Ajy3vjm94amVTugYiccJ+cdyPA==" saltValue="nTISPOcSIN4Lusk57b8Z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CACERES  Resumenes por Partidos Judiciales  CACERES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183</v>
      </c>
      <c r="O9" s="504"/>
      <c r="P9" s="504"/>
      <c r="Q9" s="502">
        <f>IF(ISNUMBER(Datos!P9),Datos!P9,0)</f>
        <v>405</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245</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162</v>
      </c>
      <c r="AI9" s="504" t="str">
        <f>IF(ISNUMBER(Datos!CD9),Datos!CD9,"-")</f>
        <v>-</v>
      </c>
      <c r="AJ9" s="504" t="str">
        <f>IF(ISNUMBER(Datos!EN9),Datos!EN9," - ")</f>
        <v xml:space="preserve"> - </v>
      </c>
      <c r="AK9" s="504"/>
      <c r="AL9" s="505"/>
      <c r="AM9" s="672">
        <f>IF(ISNUMBER(Datos!R9),Datos!R9," - ")</f>
        <v>3147</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284</v>
      </c>
      <c r="BD9" s="620">
        <f>IF(ISNUMBER(Datos!N9),Datos!N9," - ")</f>
        <v>191</v>
      </c>
      <c r="BE9" s="620" t="str">
        <f>IF(ISNUMBER(Datos!BW9),Datos!BW9," - ")</f>
        <v xml:space="preserve"> - </v>
      </c>
      <c r="BF9" s="668" t="str">
        <f>IF(ISNUMBER(Datos!BX9),Datos!BX9," - ")</f>
        <v xml:space="preserve"> - </v>
      </c>
      <c r="BG9" s="669">
        <f>IF(ISNUMBER(IF(J_V="SI",Datos!K9/Datos!J9,(Datos!K9+Datos!AA9)/(Datos!J9+Datos!Z9))),IF(J_V="SI",Datos!K9/Datos!J9,(Datos!K9+Datos!AA9)/(Datos!J9+Datos!Z9))," - ")</f>
        <v>0.42066666666666669</v>
      </c>
      <c r="BH9" s="670">
        <f>IF(ISNUMBER(((IF(J_V="SI",Datos!L9/Datos!K9,(Datos!L9+Datos!AB9)/(Datos!K9+Datos!AA9)))*11)/factor_trimestre),((IF(J_V="SI",Datos!L9/Datos!K9,(Datos!L9+Datos!AB9)/(Datos!K9+Datos!AA9)))*11)/factor_trimestre," - ")</f>
        <v>13.031695721077655</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5.3565450284566454E-2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1</v>
      </c>
      <c r="F10" s="507">
        <f>IF(ISNUMBER(Datos!L10+Datos!K10-Datos!J10),Datos!L10+Datos!K10-Datos!J10," - ")</f>
        <v>46</v>
      </c>
      <c r="G10" s="498">
        <f>IF(ISNUMBER(Datos!I10),Datos!I10," - ")</f>
        <v>46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21</v>
      </c>
      <c r="AC10" s="502">
        <f>IF(ISNUMBER(Datos!Q10),Datos!Q10," - ")</f>
        <v>0</v>
      </c>
      <c r="AD10" s="504"/>
      <c r="AE10" s="517"/>
      <c r="AF10" s="506">
        <f>IF(ISNUMBER(Datos!L10),Datos!L10,"-")</f>
        <v>52</v>
      </c>
      <c r="AG10" s="504"/>
      <c r="AH10" s="504"/>
      <c r="AI10" s="504"/>
      <c r="AJ10" s="504"/>
      <c r="AK10" s="504"/>
      <c r="AL10" s="505"/>
      <c r="AM10" s="672">
        <f>IF(ISNUMBER(Datos!R10),Datos!R10," - ")</f>
        <v>16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11</v>
      </c>
      <c r="BD10" s="620">
        <f>IF(ISNUMBER(Datos!N10),Datos!N10," - ")</f>
        <v>6</v>
      </c>
      <c r="BE10" s="620" t="str">
        <f>IF(ISNUMBER(Datos!BW10),Datos!BW10," - ")</f>
        <v xml:space="preserve"> - </v>
      </c>
      <c r="BF10" s="668" t="str">
        <f>IF(ISNUMBER(Datos!BX10),Datos!BX10," - ")</f>
        <v xml:space="preserve"> - </v>
      </c>
      <c r="BG10" s="669">
        <f>IF(ISNUMBER(Datos!K10/Datos!J10),Datos!K10/Datos!J10," - ")</f>
        <v>0.77777777777777779</v>
      </c>
      <c r="BH10" s="670">
        <f>IF(ISNUMBER(((Datos!L10/Datos!K10)*11)/factor_trimestre),((Datos!L10/Datos!K10)*11)/factor_trimestre," - ")</f>
        <v>7.4285714285714297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0.14285714285714285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46</v>
      </c>
      <c r="G14" s="1045">
        <f t="shared" si="1"/>
        <v>46</v>
      </c>
      <c r="H14" s="1046">
        <f t="shared" si="1"/>
        <v>0</v>
      </c>
      <c r="I14" s="1045">
        <f t="shared" si="1"/>
        <v>0</v>
      </c>
      <c r="J14" s="1014">
        <f t="shared" si="1"/>
        <v>0</v>
      </c>
      <c r="K14" s="1014">
        <f t="shared" si="1"/>
        <v>0</v>
      </c>
      <c r="L14" s="1046">
        <f t="shared" si="1"/>
        <v>0</v>
      </c>
      <c r="M14" s="1046">
        <f t="shared" si="1"/>
        <v>0</v>
      </c>
      <c r="N14" s="1046">
        <f t="shared" si="1"/>
        <v>183</v>
      </c>
      <c r="O14" s="1047">
        <f t="shared" si="1"/>
        <v>0</v>
      </c>
      <c r="P14" s="1047">
        <f t="shared" si="1"/>
        <v>0</v>
      </c>
      <c r="Q14" s="1046">
        <f t="shared" si="1"/>
        <v>407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21</v>
      </c>
      <c r="AC14" s="1046">
        <f t="shared" si="2"/>
        <v>245</v>
      </c>
      <c r="AD14" s="1046">
        <f t="shared" si="2"/>
        <v>0</v>
      </c>
      <c r="AE14" s="1046">
        <f t="shared" si="2"/>
        <v>0</v>
      </c>
      <c r="AF14" s="1046">
        <f t="shared" si="2"/>
        <v>52</v>
      </c>
      <c r="AG14" s="1046">
        <f t="shared" si="2"/>
        <v>0</v>
      </c>
      <c r="AH14" s="1046">
        <f t="shared" si="2"/>
        <v>162</v>
      </c>
      <c r="AI14" s="1046">
        <f t="shared" si="2"/>
        <v>0</v>
      </c>
      <c r="AJ14" s="1046">
        <f t="shared" si="2"/>
        <v>0</v>
      </c>
      <c r="AK14" s="1046">
        <f t="shared" si="2"/>
        <v>0</v>
      </c>
      <c r="AL14" s="1046">
        <f t="shared" si="2"/>
        <v>0</v>
      </c>
      <c r="AM14" s="1046">
        <f t="shared" si="2"/>
        <v>3163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295</v>
      </c>
      <c r="BD14" s="1046">
        <f t="shared" si="2"/>
        <v>197</v>
      </c>
      <c r="BE14" s="1046">
        <f t="shared" si="2"/>
        <v>0</v>
      </c>
      <c r="BF14" s="1046">
        <f t="shared" si="2"/>
        <v>0</v>
      </c>
      <c r="BG14" s="1046">
        <f>IF(ISNUMBER(Datos!K14/Datos!J14),Datos!K14/Datos!J14," - ")</f>
        <v>0.39285714285714285</v>
      </c>
      <c r="BH14" s="1050">
        <f>IF(ISNUMBER(((Datos!L14/Datos!K14)*11)/factor_trimestre),((Datos!L14/Datos!K14)*11)/factor_trimestre," - ")</f>
        <v>14.948863636363638</v>
      </c>
      <c r="BI14" s="1046">
        <f>IF(ISNUMBER('Resol  Asuntos'!D14/NºAsuntos!G14),'Resol  Asuntos'!D14/NºAsuntos!G14," - ")</f>
        <v>0.45245398773006135</v>
      </c>
      <c r="BJ14" s="1046" t="str">
        <f>IF(ISNUMBER(Datos!CI14/Datos!CJ14),Datos!CI14/Datos!CJ14," - ")</f>
        <v xml:space="preserve"> - </v>
      </c>
      <c r="BK14" s="1046">
        <f>SUBTOTAL(9,BK8:BK13)</f>
        <v>0</v>
      </c>
      <c r="BL14" s="1046">
        <f>IF(ISNUMBER((I14-AB14+L14)/(F14)),(I14-AB14+L14)/(F14)," - ")</f>
        <v>-0.45652173913043476</v>
      </c>
      <c r="BM14" s="1051">
        <f>SUBTOTAL(9,BM9:BM13)</f>
        <v>0.19642259314170929</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756</v>
      </c>
      <c r="G16" s="651">
        <f>IF(ISNUMBER(IF(D_I="SI",Datos!I16,Datos!I16+Datos!AC16)),IF(D_I="SI",Datos!I16,Datos!I16+Datos!AC16)," - ")</f>
        <v>756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27</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785</v>
      </c>
      <c r="AC16" s="231">
        <f>IF(ISNUMBER(Datos!Q16),Datos!Q16," - ")</f>
        <v>42</v>
      </c>
      <c r="AD16" s="344"/>
      <c r="AE16" s="516"/>
      <c r="AF16" s="649">
        <f>IF(ISNUMBER(IF(D_I="SI",Datos!L16,Datos!L16+Datos!AF16)),IF(D_I="SI",Datos!L16,Datos!L16+Datos!AF16)," - ")</f>
        <v>1083</v>
      </c>
      <c r="AG16" s="344"/>
      <c r="AH16" s="344"/>
      <c r="AI16" s="344"/>
      <c r="AJ16" s="504"/>
      <c r="AK16" s="344"/>
      <c r="AL16" s="500"/>
      <c r="AM16" s="345">
        <f>IF(ISNUMBER(Datos!R16),Datos!R16," - ")</f>
        <v>112</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69</v>
      </c>
      <c r="BD16" s="234">
        <f>IF(ISNUMBER(Datos!N16),Datos!N16," - ")</f>
        <v>481</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0.7059352517985612</v>
      </c>
      <c r="BH16" s="670">
        <f>IF(ISNUMBER(((IF(D_I="SI",Datos!L16/Datos!K16,(Datos!L16+Datos!AF16)/(Datos!K16+Datos!AE16)))*11)/factor_trimestre),((IF(D_I="SI",Datos!L16/Datos!K16,(Datos!L16+Datos!AF16)/(Datos!K16+Datos!AE16)))*11)/factor_trimestre," - ")</f>
        <v>4.1388535031847136</v>
      </c>
      <c r="BI16" s="248">
        <f>IF(ISNUMBER('Resol  Asuntos'!D16/NºAsuntos!G16),'Resol  Asuntos'!D16/NºAsuntos!G16," - ")</f>
        <v>8.7898089171974517E-2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131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374</v>
      </c>
      <c r="AC18" s="502">
        <f>IF(ISNUMBER(Datos!Q18),Datos!Q18," - ")</f>
        <v>4</v>
      </c>
      <c r="AD18" s="504"/>
      <c r="AE18" s="516"/>
      <c r="AF18" s="506">
        <f>IF(ISNUMBER(Datos!L18),Datos!L18,"-")</f>
        <v>127</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68</v>
      </c>
      <c r="BD18" s="620">
        <f>IF(ISNUMBER(Datos!N18),Datos!N18," - ")</f>
        <v>146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0.92574257425742579</v>
      </c>
      <c r="BH18" s="670">
        <f>IF(ISNUMBER(((IF(D_I="SI",Datos!L18/Datos!K18,(Datos!L18+Datos!AF18)/(Datos!K18+Datos!AE18)))*11)/factor_trimestre),((IF(D_I="SI",Datos!L18/Datos!K18,(Datos!L18+Datos!AF18)/(Datos!K18+Datos!AE18)))*11)/factor_trimestre," - ")</f>
        <v>1.018716577540107</v>
      </c>
      <c r="BI18" s="669">
        <f>IF(ISNUMBER('Resol  Asuntos'!D18/NºAsuntos!G18),'Resol  Asuntos'!D18/NºAsuntos!G18," - ")</f>
        <v>0.18181818181818182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756</v>
      </c>
      <c r="G20" s="1045">
        <f>SUBTOTAL(9,G16:G19)</f>
        <v>887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1159</v>
      </c>
      <c r="AC20" s="1046">
        <f t="shared" si="5"/>
        <v>46</v>
      </c>
      <c r="AD20" s="1046">
        <f t="shared" si="5"/>
        <v>0</v>
      </c>
      <c r="AE20" s="1046">
        <f t="shared" si="5"/>
        <v>0</v>
      </c>
      <c r="AF20" s="1046">
        <f t="shared" si="5"/>
        <v>1210</v>
      </c>
      <c r="AG20" s="1046">
        <f t="shared" si="5"/>
        <v>0</v>
      </c>
      <c r="AH20" s="1046">
        <f t="shared" si="5"/>
        <v>0</v>
      </c>
      <c r="AI20" s="1046">
        <f t="shared" si="5"/>
        <v>0</v>
      </c>
      <c r="AJ20" s="1046">
        <f t="shared" si="5"/>
        <v>0</v>
      </c>
      <c r="AK20" s="1046">
        <f t="shared" si="5"/>
        <v>0</v>
      </c>
      <c r="AL20" s="1046">
        <f t="shared" si="5"/>
        <v>0</v>
      </c>
      <c r="AM20" s="1046">
        <f t="shared" si="5"/>
        <v>115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137</v>
      </c>
      <c r="BD20" s="1046">
        <f t="shared" si="5"/>
        <v>627</v>
      </c>
      <c r="BE20" s="1046">
        <f t="shared" si="5"/>
        <v>0</v>
      </c>
      <c r="BF20" s="1046">
        <f t="shared" si="5"/>
        <v>0</v>
      </c>
      <c r="BG20" s="1046">
        <f>IF(ISNUMBER(Datos!K20/Datos!J20),Datos!K20/Datos!J20," - ")</f>
        <v>0.76451187335092352</v>
      </c>
      <c r="BH20" s="1050">
        <f>IF(ISNUMBER(((Datos!L20/Datos!K20)*11)/factor_trimestre),((Datos!L20/Datos!K20)*11)/factor_trimestre," - ")</f>
        <v>3.1320103537532358</v>
      </c>
      <c r="BI20" s="1046">
        <f>SUBTOTAL(9,BI16:BI19)</f>
        <v>0.26971627099015633</v>
      </c>
      <c r="BJ20" s="1046">
        <f>SUBTOTAL(9,BJ16:BJ19)</f>
        <v>0</v>
      </c>
      <c r="BK20" s="1046">
        <f>SUBTOTAL(9,BK16:BK19)</f>
        <v>0</v>
      </c>
      <c r="BL20" s="1046">
        <f>IF(ISNUMBER((I20-AB20+L20)/(F20)),(I20-AB20+L20)/(F20)," - ")</f>
        <v>-1.533068783068783</v>
      </c>
      <c r="BM20" s="1052">
        <f>IF(ISNUMBER((Datos!P20-Datos!Q20)/(Datos!R20-Datos!P20+Datos!Q20)),(Datos!P20-Datos!Q20)/(Datos!R20-Datos!P20+Datos!Q20)," - ")</f>
        <v>-0.13533834586466165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802</v>
      </c>
      <c r="G21" s="967">
        <f t="shared" si="7"/>
        <v>933</v>
      </c>
      <c r="H21" s="969">
        <f t="shared" si="7"/>
        <v>0</v>
      </c>
      <c r="I21" s="967">
        <f t="shared" si="7"/>
        <v>0</v>
      </c>
      <c r="J21" s="969">
        <f t="shared" si="7"/>
        <v>0</v>
      </c>
      <c r="K21" s="969">
        <f t="shared" si="7"/>
        <v>0</v>
      </c>
      <c r="L21" s="1028">
        <f t="shared" si="7"/>
        <v>0</v>
      </c>
      <c r="M21" s="1028">
        <f t="shared" si="7"/>
        <v>0</v>
      </c>
      <c r="N21" s="1028">
        <f t="shared" si="7"/>
        <v>183</v>
      </c>
      <c r="O21" s="1028">
        <f t="shared" si="7"/>
        <v>0</v>
      </c>
      <c r="P21" s="1028">
        <f t="shared" si="7"/>
        <v>0</v>
      </c>
      <c r="Q21" s="969">
        <f t="shared" si="7"/>
        <v>435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1180</v>
      </c>
      <c r="AC21" s="968">
        <f t="shared" si="8"/>
        <v>291</v>
      </c>
      <c r="AD21" s="968">
        <f t="shared" si="8"/>
        <v>0</v>
      </c>
      <c r="AE21" s="968">
        <f t="shared" si="8"/>
        <v>0</v>
      </c>
      <c r="AF21" s="975">
        <f t="shared" si="8"/>
        <v>1262</v>
      </c>
      <c r="AG21" s="975">
        <f t="shared" si="8"/>
        <v>0</v>
      </c>
      <c r="AH21" s="975">
        <f t="shared" si="8"/>
        <v>162</v>
      </c>
      <c r="AI21" s="975">
        <f t="shared" si="8"/>
        <v>0</v>
      </c>
      <c r="AJ21" s="968">
        <f t="shared" si="8"/>
        <v>0</v>
      </c>
      <c r="AK21" s="975">
        <f t="shared" si="8"/>
        <v>0</v>
      </c>
      <c r="AL21" s="975">
        <f t="shared" si="8"/>
        <v>0</v>
      </c>
      <c r="AM21" s="975">
        <f t="shared" si="8"/>
        <v>3278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432</v>
      </c>
      <c r="BD21" s="967">
        <f t="shared" si="8"/>
        <v>824</v>
      </c>
      <c r="BE21" s="967">
        <f t="shared" si="8"/>
        <v>0</v>
      </c>
      <c r="BF21" s="977">
        <f t="shared" si="8"/>
        <v>0</v>
      </c>
      <c r="BG21" s="1062">
        <f>IF(ISNUMBER(Datos!K21/Datos!J21),Datos!K21/Datos!J21," - ")</f>
        <v>0.58986013986013985</v>
      </c>
      <c r="BH21" s="1062">
        <f>IF(ISNUMBER(((Datos!L21/Datos!K21)*11)/factor_trimestre),((Datos!L21/Datos!K21)*11)/factor_trimestre," - ")</f>
        <v>6.8304682868998228</v>
      </c>
      <c r="BI21" s="960">
        <f>IF(ISNUMBER(Datos!J21/Datos!I21),Datos!J21/Datos!I21," - ")</f>
        <v>1.0232558139534884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-1.4713216957605986</v>
      </c>
      <c r="BM21" s="1036">
        <f>IF(ISNUMBER((Datos!P21-Datos!Q21+R21)/(Datos!R21-Datos!P21+Datos!Q21-R21)),(Datos!P21-Datos!Q21+R21)/(Datos!R21-Datos!P21+Datos!Q21-R21)," - ")</f>
        <v>4.5947670708359922E-2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373.2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2.2723636072680717</v>
      </c>
      <c r="F23" s="600">
        <f>IF(ISNUMBER(STDEV(F8:F20)),STDEV(F8:F20),"-")</f>
        <v>409.91869112463428</v>
      </c>
      <c r="G23" s="601">
        <f>IF(ISNUMBER(STDEV(G8:G20)),STDEV(G8:G20),"-")</f>
        <v>413.31186772218388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496.57426433515462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119.61605243444544</v>
      </c>
      <c r="BD23" s="600"/>
      <c r="BE23" s="600">
        <f>IF(ISNUMBER(STDEV(BE8:BE20)),STDEV(BE8:BE20),"-")</f>
        <v>0</v>
      </c>
      <c r="BF23" s="605">
        <f>IF(ISNUMBER(STDEV(BF8:BF20)),STDEV(BF8:BF20),"-")</f>
        <v>0</v>
      </c>
      <c r="BG23" s="915">
        <f>IF(ISNUMBER(STDEV(BG8:BG20)),STDEV(BG8:BG20),"-")</f>
        <v>0.2126232764773249</v>
      </c>
      <c r="BH23" s="919">
        <f>IF(ISNUMBER(STDEV(BH8:BH20)),STDEV(BH8:BH20),"-")</f>
        <v>5.62479826793742</v>
      </c>
      <c r="BI23" s="254">
        <f>IF(ISNUMBER(STDEV(BI8:BI20)),STDEV(BI8:BI20),"-")</f>
        <v>0.15522637363347927</v>
      </c>
      <c r="BJ23" s="235" t="str">
        <f>IF(ISNUMBER(BL23/BM23),BL23/BM23," - ")</f>
        <v xml:space="preserve"> - </v>
      </c>
      <c r="BK23" s="627"/>
      <c r="BL23" s="608">
        <f>IF(ISNUMBER(STDEV(BL8:BL20)),STDEV(BL8:BL20),"-")</f>
        <v>0.76123371503513826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6Z+wmxjN4W1OIjcjpXewGgPI4dXLXL12CFEw5MTjvShCQ+/UqBeYl1xQc0BLxEIG4ZrCAVBdWn68bFBK3MBXNg==" saltValue="drMAoQ3Ijq5XiBhIXwqR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CACERES  Resumenes por Partidos Judiciales  CACERES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405</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245</v>
      </c>
      <c r="AA9" s="506" t="str">
        <f>IF(ISNUMBER(IF(J_V="SI",Datos!L9,Datos!L9+Datos!AB9)-IF(Monitorios="SI",Datos!CD9,0)),
                          IF(J_V="SI",Datos!L9,Datos!L9+Datos!AB9)-IF(Monitorios="SI",Datos!CD9,0),
                          " - ")</f>
        <v xml:space="preserve"> - </v>
      </c>
      <c r="AB9" s="504"/>
      <c r="AC9" s="504"/>
      <c r="AD9" s="517"/>
      <c r="AE9" s="517">
        <f>IF(ISNUMBER(Datos!R9),Datos!R9," - ")</f>
        <v>3147</v>
      </c>
      <c r="AF9" s="620" t="str">
        <f>IF(ISNUMBER(Datos!BV9),Datos!BV9," - ")</f>
        <v xml:space="preserve"> - </v>
      </c>
      <c r="AG9" s="507" t="str">
        <f>IF(ISNUMBER(Datos!DV9),Datos!DV9," - ")</f>
        <v xml:space="preserve"> - </v>
      </c>
      <c r="AH9" s="508"/>
      <c r="AI9" s="509"/>
      <c r="AJ9" s="507">
        <f>IF(ISNUMBER(Datos!M9),Datos!M9," - ")</f>
        <v>284</v>
      </c>
      <c r="AK9" s="620">
        <f>IF(ISNUMBER(Datos!N9),Datos!N9," - ")</f>
        <v>191</v>
      </c>
      <c r="AL9" s="620" t="str">
        <f>IF(ISNUMBER(Datos!BW9),Datos!BW9," - ")</f>
        <v xml:space="preserve"> - </v>
      </c>
      <c r="AM9" s="668" t="str">
        <f>IF(ISNUMBER(Datos!BX9),Datos!BX9," - ")</f>
        <v xml:space="preserve"> - </v>
      </c>
      <c r="AN9" s="669"/>
      <c r="AO9" s="670">
        <f>IF(ISNUMBER(((NºAsuntos!I9/NºAsuntos!G9)*11)/factor_trimestre),((NºAsuntos!I9/NºAsuntos!G9)*11)/factor_trimestre," - ")</f>
        <v>13.031695721077655</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5.3565450284566454E-2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1</v>
      </c>
      <c r="F10" s="507">
        <f>IF(ISNUMBER(Datos!L10+Datos!K10-Datos!J10),Datos!L10+Datos!K10-Datos!J10," - ")</f>
        <v>46</v>
      </c>
      <c r="G10" s="507">
        <f>IF(ISNUMBER(Datos!I10),Datos!I10," - ")</f>
        <v>46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21</v>
      </c>
      <c r="Z10" s="704">
        <f>IF(ISNUMBER(Datos!Q10),Datos!Q10," - ")</f>
        <v>0</v>
      </c>
      <c r="AA10" s="506">
        <f>IF(ISNUMBER(Datos!L10),Datos!L10,"-")</f>
        <v>52</v>
      </c>
      <c r="AB10" s="504"/>
      <c r="AC10" s="504"/>
      <c r="AD10" s="517"/>
      <c r="AE10" s="517">
        <f>IF(ISNUMBER(Datos!R10),Datos!R10," - ")</f>
        <v>16</v>
      </c>
      <c r="AF10" s="620" t="str">
        <f>IF(ISNUMBER(Datos!BV10),Datos!BV10," - ")</f>
        <v xml:space="preserve"> - </v>
      </c>
      <c r="AG10" s="507" t="str">
        <f>IF(ISNUMBER(Datos!DV10),Datos!DV10," - ")</f>
        <v xml:space="preserve"> - </v>
      </c>
      <c r="AH10" s="508"/>
      <c r="AI10" s="509"/>
      <c r="AJ10" s="507">
        <f>IF(ISNUMBER(Datos!M10),Datos!M10," - ")</f>
        <v>11</v>
      </c>
      <c r="AK10" s="620">
        <f>IF(ISNUMBER(Datos!N10),Datos!N10," - ")</f>
        <v>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7.4285714285714297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0.14285714285714285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46</v>
      </c>
      <c r="G14" s="1045">
        <f>SUBTOTAL(9,G8:G13)</f>
        <v>46</v>
      </c>
      <c r="H14" s="1055"/>
      <c r="I14" s="1045">
        <f t="shared" ref="I14:N14" si="1">SUBTOTAL(9,I8:I13)</f>
        <v>0</v>
      </c>
      <c r="J14" s="1014">
        <f t="shared" si="1"/>
        <v>0</v>
      </c>
      <c r="K14" s="1055">
        <f t="shared" si="1"/>
        <v>0</v>
      </c>
      <c r="L14" s="1055">
        <f t="shared" si="1"/>
        <v>0</v>
      </c>
      <c r="M14" s="1055">
        <f t="shared" si="1"/>
        <v>0</v>
      </c>
      <c r="N14" s="1055">
        <f t="shared" si="1"/>
        <v>407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21</v>
      </c>
      <c r="Z14" s="1054">
        <f t="shared" si="3"/>
        <v>245</v>
      </c>
      <c r="AA14" s="1047">
        <f t="shared" si="3"/>
        <v>52</v>
      </c>
      <c r="AB14" s="1047">
        <f t="shared" si="3"/>
        <v>0</v>
      </c>
      <c r="AC14" s="1047">
        <f t="shared" si="3"/>
        <v>0</v>
      </c>
      <c r="AD14" s="1047">
        <f t="shared" si="3"/>
        <v>0</v>
      </c>
      <c r="AE14" s="1047">
        <f t="shared" si="3"/>
        <v>3163</v>
      </c>
      <c r="AF14" s="1055">
        <f t="shared" si="3"/>
        <v>0</v>
      </c>
      <c r="AG14" s="1055">
        <f t="shared" si="3"/>
        <v>0</v>
      </c>
      <c r="AH14" s="1055">
        <f t="shared" si="3"/>
        <v>0</v>
      </c>
      <c r="AI14" s="1055">
        <f t="shared" si="3"/>
        <v>0</v>
      </c>
      <c r="AJ14" s="1055">
        <f t="shared" si="3"/>
        <v>295</v>
      </c>
      <c r="AK14" s="1055">
        <f t="shared" si="3"/>
        <v>197</v>
      </c>
      <c r="AL14" s="1055">
        <f t="shared" si="3"/>
        <v>0</v>
      </c>
      <c r="AM14" s="1055">
        <f t="shared" si="3"/>
        <v>0</v>
      </c>
      <c r="AN14" s="1055">
        <f t="shared" si="3"/>
        <v>0</v>
      </c>
      <c r="AO14" s="1051">
        <f>IF(ISNUMBER(((NºAsuntos!I14/NºAsuntos!G14)*11)/factor_trimestre),((NºAsuntos!I14/NºAsuntos!G14)*11)/factor_trimestre," - ")</f>
        <v>12.851226993865032</v>
      </c>
      <c r="AP14" s="1057" t="str">
        <f>IF(ISNUMBER(Datos!CI14/Datos!CJ14),Datos!CI14/Datos!CJ14," - ")</f>
        <v xml:space="preserve"> - </v>
      </c>
      <c r="AQ14" s="1075">
        <f t="shared" ref="AQ14:AV14" si="4">SUBTOTAL(9,AQ9:AQ13)</f>
        <v>0</v>
      </c>
      <c r="AR14" s="1075">
        <f t="shared" si="4"/>
        <v>0.19642259314170929</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756</v>
      </c>
      <c r="G16" s="507">
        <f>IF(ISNUMBER(IF(D_I="SI",Datos!I16,Datos!I16+Datos!AC16)),IF(D_I="SI",Datos!I16,Datos!I16+Datos!AC16)," - ")</f>
        <v>756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27</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785</v>
      </c>
      <c r="Z16" s="704">
        <f>IF(ISNUMBER(Datos!Q16),Datos!Q16," - ")</f>
        <v>42</v>
      </c>
      <c r="AA16" s="506">
        <f>IF(ISNUMBER(IF(D_I="SI",Datos!L16,Datos!L16+Datos!AF16)),IF(D_I="SI",Datos!L16,Datos!L16+Datos!AF16)," - ")</f>
        <v>1083</v>
      </c>
      <c r="AB16" s="504"/>
      <c r="AC16" s="504"/>
      <c r="AD16" s="517"/>
      <c r="AE16" s="517">
        <f>IF(ISNUMBER(Datos!R16),Datos!R16," - ")</f>
        <v>112</v>
      </c>
      <c r="AF16" s="620" t="str">
        <f>IF(ISNUMBER(Datos!BV16),Datos!BV16," - ")</f>
        <v xml:space="preserve"> - </v>
      </c>
      <c r="AG16" s="507"/>
      <c r="AH16" s="508"/>
      <c r="AI16" s="509"/>
      <c r="AJ16" s="507">
        <f>IF(ISNUMBER(Datos!M16),Datos!M16," - ")</f>
        <v>69</v>
      </c>
      <c r="AK16" s="620">
        <f>IF(ISNUMBER(Datos!N16),Datos!N16," - ")</f>
        <v>481</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4.1388535031847136</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131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374</v>
      </c>
      <c r="Z18" s="704">
        <f>IF(ISNUMBER(Datos!Q18),Datos!Q18," - ")</f>
        <v>4</v>
      </c>
      <c r="AA18" s="506">
        <f>IF(ISNUMBER(Datos!L18),Datos!L18,"-")</f>
        <v>127</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68</v>
      </c>
      <c r="AK18" s="620">
        <f>IF(ISNUMBER(Datos!N18),Datos!N18," - ")</f>
        <v>146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1.018716577540107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756</v>
      </c>
      <c r="G20" s="1045">
        <f>SUBTOTAL(9,G16:G19)</f>
        <v>887</v>
      </c>
      <c r="H20" s="1079">
        <f>SUBTOTAL(9,H16:H19)</f>
        <v>0</v>
      </c>
      <c r="I20" s="1058">
        <f>SUBTOTAL(9,I16:I19)</f>
        <v>0</v>
      </c>
      <c r="J20" s="1014">
        <f>SUBTOTAL(9,J15:J19)</f>
        <v>0</v>
      </c>
      <c r="K20" s="1079">
        <f t="shared" ref="K20:S20" si="5">SUBTOTAL(9,K16:K19)</f>
        <v>0</v>
      </c>
      <c r="L20" s="1079">
        <f t="shared" si="5"/>
        <v>0</v>
      </c>
      <c r="M20" s="1079">
        <f t="shared" si="5"/>
        <v>0</v>
      </c>
      <c r="N20" s="1079">
        <f t="shared" si="5"/>
        <v>28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1159</v>
      </c>
      <c r="Z20" s="1079">
        <f t="shared" si="6"/>
        <v>46</v>
      </c>
      <c r="AA20" s="1079">
        <f t="shared" si="6"/>
        <v>1210</v>
      </c>
      <c r="AB20" s="1079">
        <f t="shared" si="6"/>
        <v>0</v>
      </c>
      <c r="AC20" s="1079">
        <f t="shared" si="6"/>
        <v>0</v>
      </c>
      <c r="AD20" s="1079">
        <f t="shared" si="6"/>
        <v>0</v>
      </c>
      <c r="AE20" s="1079">
        <f t="shared" si="6"/>
        <v>115</v>
      </c>
      <c r="AF20" s="1079">
        <f t="shared" si="6"/>
        <v>0</v>
      </c>
      <c r="AG20" s="1079">
        <f t="shared" si="6"/>
        <v>0</v>
      </c>
      <c r="AH20" s="1079">
        <f t="shared" si="6"/>
        <v>0</v>
      </c>
      <c r="AI20" s="1079">
        <f t="shared" si="6"/>
        <v>0</v>
      </c>
      <c r="AJ20" s="1079">
        <f t="shared" si="6"/>
        <v>137</v>
      </c>
      <c r="AK20" s="1079">
        <f t="shared" si="6"/>
        <v>627</v>
      </c>
      <c r="AL20" s="1079">
        <f t="shared" si="6"/>
        <v>0</v>
      </c>
      <c r="AM20" s="1079">
        <f t="shared" si="6"/>
        <v>0</v>
      </c>
      <c r="AN20" s="1079">
        <f t="shared" si="6"/>
        <v>0</v>
      </c>
      <c r="AO20" s="1081">
        <f>IF(ISNUMBER(((NºAsuntos!I20/NºAsuntos!G20)*11)/factor_trimestre),((NºAsuntos!I20/NºAsuntos!G20)*11)/factor_trimestre," - ")</f>
        <v>3.1320103537532358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802</v>
      </c>
      <c r="G21" s="967">
        <f t="shared" si="8"/>
        <v>933</v>
      </c>
      <c r="H21" s="968">
        <f t="shared" si="8"/>
        <v>0</v>
      </c>
      <c r="I21" s="967">
        <f t="shared" si="8"/>
        <v>0</v>
      </c>
      <c r="J21" s="969">
        <f t="shared" si="8"/>
        <v>0</v>
      </c>
      <c r="K21" s="967">
        <f t="shared" si="8"/>
        <v>0</v>
      </c>
      <c r="L21" s="970">
        <f t="shared" si="8"/>
        <v>0</v>
      </c>
      <c r="M21" s="967">
        <f t="shared" si="8"/>
        <v>0</v>
      </c>
      <c r="N21" s="968">
        <f t="shared" si="8"/>
        <v>435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1180</v>
      </c>
      <c r="Z21" s="974">
        <f t="shared" si="9"/>
        <v>291</v>
      </c>
      <c r="AA21" s="975">
        <f t="shared" si="9"/>
        <v>1262</v>
      </c>
      <c r="AB21" s="975">
        <f t="shared" si="9"/>
        <v>0</v>
      </c>
      <c r="AC21" s="975">
        <f t="shared" si="9"/>
        <v>0</v>
      </c>
      <c r="AD21" s="976">
        <f t="shared" si="9"/>
        <v>0</v>
      </c>
      <c r="AE21" s="976">
        <f t="shared" si="9"/>
        <v>3278</v>
      </c>
      <c r="AF21" s="977">
        <f t="shared" si="9"/>
        <v>0</v>
      </c>
      <c r="AG21" s="978">
        <f t="shared" si="9"/>
        <v>0</v>
      </c>
      <c r="AH21" s="979">
        <f t="shared" si="9"/>
        <v>0</v>
      </c>
      <c r="AI21" s="977">
        <f t="shared" si="9"/>
        <v>0</v>
      </c>
      <c r="AJ21" s="967">
        <f t="shared" si="9"/>
        <v>432</v>
      </c>
      <c r="AK21" s="967">
        <f t="shared" si="9"/>
        <v>824</v>
      </c>
      <c r="AL21" s="967">
        <f t="shared" si="9"/>
        <v>0</v>
      </c>
      <c r="AM21" s="980">
        <f t="shared" si="9"/>
        <v>0</v>
      </c>
      <c r="AN21" s="970">
        <f>IF(ISNUMBER(Datos!K21/Datos!J21),Datos!K21/Datos!J21," - ")</f>
        <v>0.58986013986013985</v>
      </c>
      <c r="AO21" s="970">
        <f>IF(ISNUMBER(FIND("06",Criterios!A8,1)),(IF(ISNUMBER(((Datos!R21/Datos!Q21)*11)/factor_trimestre),((Datos!R21/Datos!Q21)*11)/factor_trimestre," - ")),(IF(ISNUMBER(((Datos!L21/Datos!K21)*11)/factor_trimestre),((Datos!L21/Datos!K21)*11)/factor_trimestre," - ")))</f>
        <v>6.8304682868998228</v>
      </c>
      <c r="AP21" s="981" t="str">
        <f>IF(ISNUMBER(Datos!CI21/Datos!CJ21),Datos!CI21/Datos!CJ21," - ")</f>
        <v xml:space="preserve"> - </v>
      </c>
      <c r="AQ21" s="981">
        <f>IF(OR(ISNUMBER(FIND("01",Criterios!A8,1)),ISNUMBER(FIND("02",Criterios!A8,1)),ISNUMBER(FIND("03",Criterios!A8,1)),ISNUMBER(FIND("04",Criterios!A8,1))),(J21-Y21+K21)/(F21-K21),(I21-Y21+K21)/(F21-K21))</f>
        <v>-1.4713216957605986</v>
      </c>
      <c r="AR21" s="981">
        <f>IF(ISNUMBER((Datos!P21-Datos!Q21+O21)/(Datos!R21-Datos!P21+Datos!Q21-O21)),(Datos!P21-Datos!Q21+O21)/(Datos!R21-Datos!P21+Datos!Q21-O21)," - ")</f>
        <v>4.5947670708359922E-2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373.2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409.91869112463428</v>
      </c>
      <c r="G23" s="601">
        <f>IF(ISNUMBER(STDEV(G8:G20)),STDEV(G8:G20),"-")</f>
        <v>413.31186772218388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119.61605243444544</v>
      </c>
      <c r="AK23" s="257"/>
      <c r="AL23" s="257">
        <f>IF(ISNUMBER(STDEV(AL8:AL20)),STDEV(AL8:AL20),"-")</f>
        <v>0</v>
      </c>
      <c r="AM23" s="259">
        <f>IF(ISNUMBER(STDEV(AM8:AM20)),STDEV(AM8:AM20),"-")</f>
        <v>0</v>
      </c>
      <c r="AN23" s="587">
        <f>IF(ISNUMBER(STDEV(AN8:AN20)),STDEV(AN8:AN20),"-")</f>
        <v>0</v>
      </c>
      <c r="AO23" s="588">
        <f>IF(ISNUMBER(STDEV(AO8:AO20)),STDEV(AO8:AO20),"-")</f>
        <v>5.0931054387718904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pmcn2X06lCDlHhoFXtUiz2M7gw2eudUSv/zcrddug8xb5IBCAhJ9nxFCjq+kbf+HWCa++vlS7+XXQPXrqfjDw==" saltValue="w89keWeTzT4KXgT6pxb3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umPp0QFMBrAeiydq+ZxBjyeSNKj6O6BSbbNQ7OfCJLF1AxFj4JkwxDuWMq8731xkAeFVXkacsoCj6M55eFihQ==" saltValue="FME3oZSXv7Vw4ojokuxt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2DXhVrbQ2IeN8jSh8kLsJMDaFyraRYSN0vdq+cp9J7wNB/aIITfszBUkkiPZOsAZ0EVI2IQ+9bOsxyWLVV0fA==" saltValue="sVoIBRWm5NDQB96ypVe1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CACERES  Resumenes por Partidos Judiciales  CACERES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0.45245398773006135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0.31993328289882134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cHaF6pmKCWpRv+orrXxDr0fLlkmh/j6tyK6LAt3/mIVqyeQQfJD/x7b+kEaEoOBcqMQbMefj83uoh9GSW4D0g==" saltValue="TugtEFx4+zLCkm5veeyH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ZOFoNC+V9VwGZVIH962pPpDkkxAPAf/DeDu7yMEvg0ues7SKXw7sFHufVb4byMHwKh70Xl3GqfjKeemTacUvA==" saltValue="XwBs+D3dlxpc+r8O001s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CACERES</v>
      </c>
      <c r="D3" s="400"/>
      <c r="E3" s="400"/>
      <c r="F3" s="400"/>
    </row>
    <row r="4" spans="1:14" ht="13.5" thickBot="1">
      <c r="A4" s="400"/>
      <c r="B4" s="403" t="str">
        <f>Criterios!A11 &amp;"  "&amp;Criterios!B11</f>
        <v>Resumenes por Partidos Judiciales  CACERES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1965</v>
      </c>
      <c r="D9" s="416" t="str">
        <f>IF(ISNUMBER(C9/Datos!BH9),C9/Datos!BH9," - ")</f>
        <v xml:space="preserve"> - </v>
      </c>
      <c r="E9" s="415">
        <f>IF(ISNUMBER(IF(J_V="SI",Datos!J9,Datos!J9+Datos!Z9)),IF(J_V="SI",Datos!J9,Datos!J9+Datos!Z9)," - ")</f>
        <v>1500</v>
      </c>
      <c r="F9" s="416">
        <f>IF(ISNUMBER(E9/B9),E9/B9," - ")</f>
        <v>300</v>
      </c>
      <c r="G9" s="415">
        <f>IF(ISNUMBER(IF(J_V="SI",Datos!K9,Datos!K9+Datos!AA9)),IF(J_V="SI",Datos!K9,Datos!K9+Datos!AA9)," - ")</f>
        <v>631</v>
      </c>
      <c r="H9" s="416">
        <f>IF(ISNUMBER(G9/B9),G9/B9," - ")</f>
        <v>126.2</v>
      </c>
      <c r="I9" s="415">
        <f>IF(ISNUMBER(IF(J_V="SI",Datos!L9,Datos!L9+Datos!AB9)),IF(J_V="SI",Datos!L9,Datos!L9+Datos!AB9)," - ")</f>
        <v>2741</v>
      </c>
      <c r="J9" s="416">
        <f>IF(ISNUMBER(I9/B9),I9/B9," - ")</f>
        <v>548.20000000000005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46</v>
      </c>
      <c r="D10" s="416">
        <f>IF(ISNUMBER(C10/Datos!BH10),C10/Datos!BH10," - ")</f>
        <v>23</v>
      </c>
      <c r="E10" s="415">
        <f>IF(ISNUMBER(Datos!J10),Datos!J10," - ")</f>
        <v>27</v>
      </c>
      <c r="F10" s="416">
        <f>IF(ISNUMBER(E10/B10),E10/B10," - ")</f>
        <v>13.5</v>
      </c>
      <c r="G10" s="415">
        <f>IF(ISNUMBER(Datos!K10),Datos!K10," - ")</f>
        <v>21</v>
      </c>
      <c r="H10" s="416">
        <f>IF(ISNUMBER(G10/B10),G10/B10," - ")</f>
        <v>10.5</v>
      </c>
      <c r="I10" s="415">
        <f>IF(ISNUMBER(Datos!L10),Datos!L10," - ")</f>
        <v>52</v>
      </c>
      <c r="J10" s="416">
        <f>IF(ISNUMBER(I10/B10),I10/B10," - ")</f>
        <v>26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2011</v>
      </c>
      <c r="D14" s="997" t="str">
        <f>IF(ISNUMBER(C14/Datos!BI14),C14/Datos!BI14," - ")</f>
        <v xml:space="preserve"> - </v>
      </c>
      <c r="E14" s="996">
        <f>SUBTOTAL(9,E8:E13)</f>
        <v>1527</v>
      </c>
      <c r="F14" s="997">
        <f>IF(ISNUMBER(E14/B14),E14/B14," - ")</f>
        <v>254.5</v>
      </c>
      <c r="G14" s="996">
        <f>SUBTOTAL(9,G8:G13)</f>
        <v>652</v>
      </c>
      <c r="H14" s="997">
        <f>IF(ISNUMBER(G14/B14),G14/B14," - ")</f>
        <v>108.66666666666667</v>
      </c>
      <c r="I14" s="996">
        <f>SUBTOTAL(9,I8:I13)</f>
        <v>2793</v>
      </c>
      <c r="J14" s="997">
        <f>IF(ISNUMBER(I14/B14),I14/B14," - ")</f>
        <v>465.5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756</v>
      </c>
      <c r="D16" s="416" t="str">
        <f>IF(ISNUMBER(C16/Datos!BH16),C16/Datos!BH16," - ")</f>
        <v xml:space="preserve"> - </v>
      </c>
      <c r="E16" s="415">
        <f>IF(ISNUMBER(IF(D_I="SI",Datos!J16,Datos!J16+Datos!AD16)),IF(D_I="SI",Datos!J16,Datos!J16+Datos!AD16)," - ")</f>
        <v>1112</v>
      </c>
      <c r="F16" s="416">
        <f>IF(ISNUMBER(E16/B16),E16/B16," - ")</f>
        <v>370.66666666666669</v>
      </c>
      <c r="G16" s="415">
        <f>IF(ISNUMBER(IF(D_I="SI",Datos!K16,Datos!K16+Datos!AE16)),IF(D_I="SI",Datos!K16,Datos!K16+Datos!AE16)," - ")</f>
        <v>785</v>
      </c>
      <c r="H16" s="416">
        <f>IF(ISNUMBER(G16/B16),G16/B16," - ")</f>
        <v>261.66666666666669</v>
      </c>
      <c r="I16" s="415">
        <f>IF(ISNUMBER(IF(D_I="SI",Datos!L16,Datos!L16+Datos!AF16)),IF(D_I="SI",Datos!L16,Datos!L16+Datos!AF16)," - ")</f>
        <v>1083</v>
      </c>
      <c r="J16" s="416">
        <f>IF(ISNUMBER(I16/B16),I16/B16," - ")</f>
        <v>361</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131</v>
      </c>
      <c r="D18" s="416">
        <f>IF(ISNUMBER(C18/Datos!BH18),C18/Datos!BH18," - ")</f>
        <v>65.5</v>
      </c>
      <c r="E18" s="415">
        <f>IF(ISNUMBER(IF(D_I="SI",Datos!J18,Datos!J18+Datos!AD18)),IF(D_I="SI",Datos!J18,Datos!J18+Datos!AD18)," - ")</f>
        <v>404</v>
      </c>
      <c r="F18" s="416">
        <f>IF(ISNUMBER(E18/B18),E18/B18," - ")</f>
        <v>202</v>
      </c>
      <c r="G18" s="415">
        <f>IF(ISNUMBER(IF(D_I="SI",Datos!K18,Datos!K18+Datos!AE18)),IF(D_I="SI",Datos!K18,Datos!K18+Datos!AE18)," - ")</f>
        <v>374</v>
      </c>
      <c r="H18" s="416">
        <f>IF(ISNUMBER(G18/B18),G18/B18," - ")</f>
        <v>187</v>
      </c>
      <c r="I18" s="415">
        <f>IF(ISNUMBER(IF(D_I="SI",Datos!L18,Datos!L18+Datos!AF18)),IF(D_I="SI",Datos!L18,Datos!L18+Datos!AF18)," - ")</f>
        <v>127</v>
      </c>
      <c r="J18" s="416">
        <f>IF(ISNUMBER(I18/B18),I18/B18," - ")</f>
        <v>63.5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887</v>
      </c>
      <c r="D20" s="997" t="str">
        <f>IF(ISNUMBER(C20/Datos!BI20),C20/Datos!BI20," - ")</f>
        <v xml:space="preserve"> - </v>
      </c>
      <c r="E20" s="996">
        <f>SUBTOTAL(9,E15:E19)</f>
        <v>1516</v>
      </c>
      <c r="F20" s="997">
        <f>IF(ISNUMBER(E20/B20),E20/B20," - ")</f>
        <v>379</v>
      </c>
      <c r="G20" s="996">
        <f>SUBTOTAL(9,G15:G19)</f>
        <v>1159</v>
      </c>
      <c r="H20" s="997">
        <f>IF(ISNUMBER(G20/B20),G20/B20," - ")</f>
        <v>289.75</v>
      </c>
      <c r="I20" s="996">
        <f>SUBTOTAL(9,I15:I19)</f>
        <v>1210</v>
      </c>
      <c r="J20" s="997">
        <f>IF(ISNUMBER(I20/B20),I20/B20," - ")</f>
        <v>302.5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9</v>
      </c>
      <c r="C21" s="941">
        <f>SUBTOTAL(9,C9:C20)</f>
        <v>2898</v>
      </c>
      <c r="D21" s="942" t="str">
        <f>IF(ISNUMBER(C21/Datos!BI21),C21/Datos!BI21," - ")</f>
        <v xml:space="preserve"> - </v>
      </c>
      <c r="E21" s="941">
        <f>SUBTOTAL(9,E9:E20)</f>
        <v>3043</v>
      </c>
      <c r="F21" s="942">
        <f>IF(ISNUMBER(E21/B21),E21/B21," - ")</f>
        <v>338.11111111111109</v>
      </c>
      <c r="G21" s="941">
        <f>SUBTOTAL(9,G9:G20)</f>
        <v>1811</v>
      </c>
      <c r="H21" s="942">
        <f>IF(ISNUMBER(G21/B21),G21/B21," - ")</f>
        <v>201.22222222222223</v>
      </c>
      <c r="I21" s="941">
        <f>SUBTOTAL(9,I9:I20)</f>
        <v>4003</v>
      </c>
      <c r="J21" s="942">
        <f>IF(ISNUMBER(I21/B21),I21/B21," - ")</f>
        <v>444.77777777777777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7f5ztvx7+eMuPLCzDc2cpaS3it/e/eOtaewVsRWJTMHIz2Vt4z56iUQE7aPrVV56PgIByVs1gVYniD80xGG4Sg==" saltValue="aXJF09tYSunZIqgoy1yPW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CACERES  Resumenes por Partidos Judiciales  CACERES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1</v>
      </c>
      <c r="F10" s="802">
        <f>IF(ISNUMBER(Datos!L10+Datos!K10-Datos!J10),Datos!L10+Datos!K10-Datos!J10," - ")</f>
        <v>46</v>
      </c>
      <c r="G10" s="803">
        <f>IF(ISNUMBER(Datos!I10),Datos!I10," - ")</f>
        <v>46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21</v>
      </c>
      <c r="AC10" s="802" t="str">
        <f>IF(ISNUMBER(IF(D_I="SI",DatosP!K18,DatosP!K18+DatosP!AE18)),IF(D_I="SI",DatosP!K18,DatosP!K18+DatosP!AE18)," - ")</f>
        <v xml:space="preserve"> - </v>
      </c>
      <c r="AD10" s="804"/>
      <c r="AE10" s="804"/>
      <c r="AF10" s="807">
        <f>IF(ISNUMBER(Datos!L10),Datos!L10,"-")</f>
        <v>52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11</v>
      </c>
      <c r="AM10" s="811">
        <f>IF(ISNUMBER(Datos!N10+DatosP!N18),Datos!N10+DatosP!N18," - ")</f>
        <v>6</v>
      </c>
      <c r="AN10" s="811">
        <f>IF(ISNUMBER(Datos!BW10+DatosP!BW18),Datos!BW10+DatosP!BW18," - ")</f>
        <v>0</v>
      </c>
      <c r="AO10" s="812">
        <f>IF(ISNUMBER(Datos!BX10+DatosP!BX18),Datos!BX10+DatosP!BX18," - ")</f>
        <v>0</v>
      </c>
      <c r="AP10" s="814">
        <f>IF(ISNUMBER(((Datos!L10/Datos!K10)*11)/factor_trimestre),((Datos!L10/Datos!K10)*11)/factor_trimestre," - ")</f>
        <v>7.4285714285714297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46</v>
      </c>
      <c r="G14" s="1085">
        <f t="shared" si="0"/>
        <v>46</v>
      </c>
      <c r="H14" s="1085">
        <f t="shared" si="0"/>
        <v>0</v>
      </c>
      <c r="I14" s="1087">
        <f t="shared" si="0"/>
        <v>0</v>
      </c>
      <c r="J14" s="1086">
        <f t="shared" si="0"/>
        <v>0</v>
      </c>
      <c r="K14" s="1086">
        <f t="shared" si="0"/>
        <v>0</v>
      </c>
      <c r="L14" s="1088">
        <f t="shared" si="0"/>
        <v>0</v>
      </c>
      <c r="M14" s="1088">
        <f t="shared" si="0"/>
        <v>0</v>
      </c>
      <c r="N14" s="1086">
        <f t="shared" si="0"/>
        <v>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21</v>
      </c>
      <c r="AC14" s="1086">
        <f t="shared" si="1"/>
        <v>0</v>
      </c>
      <c r="AD14" s="1086">
        <f t="shared" si="1"/>
        <v>0</v>
      </c>
      <c r="AE14" s="1086">
        <f t="shared" si="1"/>
        <v>0</v>
      </c>
      <c r="AF14" s="1086">
        <f t="shared" si="1"/>
        <v>52</v>
      </c>
      <c r="AG14" s="1086">
        <f t="shared" si="1"/>
        <v>0</v>
      </c>
      <c r="AH14" s="1086">
        <f t="shared" si="1"/>
        <v>0</v>
      </c>
      <c r="AI14" s="1086">
        <f t="shared" si="1"/>
        <v>0</v>
      </c>
      <c r="AJ14" s="1086">
        <f t="shared" si="1"/>
        <v>0</v>
      </c>
      <c r="AK14" s="1086">
        <f t="shared" si="1"/>
        <v>0</v>
      </c>
      <c r="AL14" s="1086">
        <f t="shared" si="1"/>
        <v>11</v>
      </c>
      <c r="AM14" s="1086">
        <f t="shared" si="1"/>
        <v>6</v>
      </c>
      <c r="AN14" s="1086">
        <f t="shared" si="1"/>
        <v>0</v>
      </c>
      <c r="AO14" s="1086">
        <f t="shared" si="1"/>
        <v>0</v>
      </c>
      <c r="AP14" s="1091">
        <f>IF(ISNUMBER(((Datos!L14/Datos!K14)*11)/factor_trimestre),((Datos!L14/Datos!K14)*11)/factor_trimestre," - ")</f>
        <v>14.948863636363638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-0.45652173913043476</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3.1320103537532358</v>
      </c>
      <c r="AQ20" s="1091">
        <f>IF(ISNUMBER(((Datos!M20/Datos!L20)*11)/factor_trimestre),((Datos!M20/Datos!L20)*11)/factor_trimestre," - ")</f>
        <v>0.33966942148760332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-0.13533834586466165</v>
      </c>
      <c r="AW20" s="1093">
        <f>IF(ISNUMBER((Datos!Q20-Datos!R20)/(Datos!S20-Datos!Q20+Datos!R20)),(Datos!Q20-Datos!R20)/(Datos!S20-Datos!Q20+Datos!R20)," - ")</f>
        <v>-0.43125000000000002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46</v>
      </c>
      <c r="G21" s="1098">
        <f t="shared" si="4"/>
        <v>46</v>
      </c>
      <c r="H21" s="1098">
        <f t="shared" si="4"/>
        <v>0</v>
      </c>
      <c r="I21" s="1099">
        <f t="shared" si="4"/>
        <v>0</v>
      </c>
      <c r="J21" s="1100">
        <f t="shared" si="4"/>
        <v>0</v>
      </c>
      <c r="K21" s="1100">
        <f t="shared" si="4"/>
        <v>0</v>
      </c>
      <c r="L21" s="1100">
        <f t="shared" si="4"/>
        <v>0</v>
      </c>
      <c r="M21" s="1100">
        <f t="shared" si="4"/>
        <v>0</v>
      </c>
      <c r="N21" s="1099">
        <f t="shared" si="4"/>
        <v>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21</v>
      </c>
      <c r="AC21" s="1104">
        <f t="shared" si="5"/>
        <v>0</v>
      </c>
      <c r="AD21" s="1104">
        <f t="shared" si="5"/>
        <v>0</v>
      </c>
      <c r="AE21" s="1104">
        <f t="shared" si="5"/>
        <v>0</v>
      </c>
      <c r="AF21" s="1105">
        <f t="shared" si="5"/>
        <v>52</v>
      </c>
      <c r="AG21" s="1105">
        <f t="shared" si="5"/>
        <v>0</v>
      </c>
      <c r="AH21" s="1105">
        <f t="shared" si="5"/>
        <v>0</v>
      </c>
      <c r="AI21" s="1105">
        <f t="shared" si="5"/>
        <v>0</v>
      </c>
      <c r="AJ21" s="1106">
        <f t="shared" si="5"/>
        <v>0</v>
      </c>
      <c r="AK21" s="1106">
        <f t="shared" si="5"/>
        <v>0</v>
      </c>
      <c r="AL21" s="1098">
        <f t="shared" si="5"/>
        <v>11</v>
      </c>
      <c r="AM21" s="1098">
        <f t="shared" si="5"/>
        <v>6</v>
      </c>
      <c r="AN21" s="1098">
        <f t="shared" si="5"/>
        <v>0</v>
      </c>
      <c r="AO21" s="1098">
        <f t="shared" si="5"/>
        <v>0</v>
      </c>
      <c r="AP21" s="1098">
        <f>IF(ISNUMBER(((Datos!L21/Datos!K21)*11)/factor_trimestre),((Datos!L21/Datos!K21)*11)/factor_trimestre," - ")</f>
        <v>6.8304682868998228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-0.45652173913043476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4.5947670708359922E-2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30.666666666666668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2.6276913640612181</v>
      </c>
      <c r="F23" s="870">
        <f>IF(ISNUMBER(STDEV(F8:F20)),STDEV(F8:F20),"-")</f>
        <v>26.558112382722783</v>
      </c>
      <c r="G23" s="871">
        <f>IF(ISNUMBER(STDEV(G8:G20)),STDEV(G8:G20),"-")</f>
        <v>26.558112382722783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12.124355652982141</v>
      </c>
      <c r="AC23" s="872">
        <f>IF(ISNUMBER(STDEV(AC8:AC20)),STDEV(AC8:AC20),"-")</f>
        <v>0</v>
      </c>
      <c r="AD23" s="875"/>
      <c r="AE23" s="875"/>
      <c r="AF23" s="875"/>
      <c r="AG23" s="875"/>
      <c r="AH23" s="875"/>
      <c r="AI23" s="875"/>
      <c r="AJ23" s="876">
        <f>IF(ISNUMBER(STDEV(AJ8:AJ20)),STDEV(AJ8:AJ20),"-")</f>
        <v>0</v>
      </c>
      <c r="AK23" s="878"/>
      <c r="AL23" s="870">
        <f>IF(ISNUMBER(STDEV(AL8:AL20)),STDEV(AL8:AL20),"-")</f>
        <v>6.3508529610858826</v>
      </c>
      <c r="AM23" s="870"/>
      <c r="AN23" s="870">
        <f>IF(ISNUMBER(STDEV(AN8:AN20)),STDEV(AN8:AN20),"-")</f>
        <v>0</v>
      </c>
      <c r="AO23" s="876">
        <f>IF(ISNUMBER(STDEV(AO8:AO20)),STDEV(AO8:AO20),"-")</f>
        <v>0</v>
      </c>
      <c r="AP23" s="923">
        <f>IF(ISNUMBER(STDEV(AP8:AP20)),STDEV(AP8:AP20),"-")</f>
        <v>5.9812659399016255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c49hUCpwMWTvtvQ7UwpnClcxe6ocq5qvqVqfp1c+sFyl+9Jbdep028YFrh0fvTYM5bb7XcN40kbWC7bjT6YIA==" saltValue="74gsjLGwOw4f5E8fDiHn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CACERES</v>
      </c>
      <c r="C3" s="427"/>
      <c r="F3" s="400"/>
      <c r="G3" s="400"/>
      <c r="H3" s="400"/>
    </row>
    <row r="4" spans="1:15" ht="13.5" thickBot="1">
      <c r="A4" s="400"/>
      <c r="B4" s="403" t="str">
        <f>Criterios!A11 &amp;"  "&amp;Criterios!B11</f>
        <v>Resumenes por Partidos Judiciales  CACERES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0.5</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f>IF(ISNUMBER(E12/Datos!BH12),E12/Datos!BH12," - ")</f>
        <v>0</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f>IF(ISNUMBER(E17/Datos!BH17),E17/Datos!BH17," - ")</f>
        <v>0</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0.5</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9Jdx09/GlW5s1X6cpNoW54vGX/Q7Jvq3iY6AvX8waiD2x/v2Lb32UT4oF1oS5KwUVclDzJc+SfnBiXD8bo2cNQ==" saltValue="i1R9/T4Mw7m7dpj6epqwI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CACERES</v>
      </c>
      <c r="C3" s="439"/>
      <c r="D3" s="440"/>
    </row>
    <row r="4" spans="1:9" ht="13.5" thickBot="1">
      <c r="B4" s="441" t="str">
        <f>Criterios!A11 &amp;"  "&amp;Criterios!B11</f>
        <v>Resumenes por Partidos Judiciales  CACERES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284</v>
      </c>
      <c r="E9" s="416">
        <f t="shared" ref="E9:E14" si="0">IF(ISNUMBER(D9/B9),D9/B9," - ")</f>
        <v>56.8</v>
      </c>
      <c r="F9" s="415">
        <f>IF(ISNUMBER(Datos!N9),Datos!N9," - ")</f>
        <v>191</v>
      </c>
      <c r="G9" s="416">
        <f t="shared" ref="G9:G14" si="1">IF(ISNUMBER(F9/B9),F9/B9," - ")</f>
        <v>38.200000000000003</v>
      </c>
      <c r="H9" s="415">
        <f>IF(ISNUMBER(Datos!O9),Datos!O9," - ")</f>
        <v>259</v>
      </c>
      <c r="I9" s="416">
        <f>IF(ISNUMBER(H9/B9),H9/B9," - ")</f>
        <v>51.8</v>
      </c>
    </row>
    <row r="10" spans="1:9">
      <c r="A10" s="414" t="str">
        <f>Datos!A10</f>
        <v>Jdos. Violencia contra la mujer</v>
      </c>
      <c r="B10" s="444">
        <f>Datos!AO10</f>
        <v>2</v>
      </c>
      <c r="C10" s="422">
        <f>Datos!AQ10</f>
        <v>1</v>
      </c>
      <c r="D10" s="415">
        <f>IF(ISNUMBER(Datos!M10),Datos!M10," - ")</f>
        <v>11</v>
      </c>
      <c r="E10" s="416">
        <f>IF(ISNUMBER(D10/B10),D10/B10," - ")</f>
        <v>5.5</v>
      </c>
      <c r="F10" s="415">
        <f>IF(ISNUMBER(Datos!N10),Datos!N10," - ")</f>
        <v>6</v>
      </c>
      <c r="G10" s="416">
        <f>IF(ISNUMBER(F10/B10),F10/B10," - ")</f>
        <v>3</v>
      </c>
      <c r="H10" s="415">
        <f>IF(ISNUMBER(Datos!O10),Datos!O10," - ")</f>
        <v>4</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295</v>
      </c>
      <c r="E14" s="997">
        <f t="shared" si="0"/>
        <v>42.142857142857146</v>
      </c>
      <c r="F14" s="996">
        <f>SUBTOTAL(9,F9:F13)</f>
        <v>197</v>
      </c>
      <c r="G14" s="997">
        <f t="shared" si="1"/>
        <v>28.142857142857142</v>
      </c>
      <c r="H14" s="996">
        <f>SUBTOTAL(9,H9:H13)</f>
        <v>263</v>
      </c>
      <c r="I14" s="997">
        <f>IF(ISNUMBER(H14/B14),H14/B14," - ")</f>
        <v>37.571428571428569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69</v>
      </c>
      <c r="E16" s="416">
        <f t="shared" ref="E16:E20" si="3">IF(ISNUMBER(D16/B16),D16/B16," - ")</f>
        <v>23</v>
      </c>
      <c r="F16" s="415">
        <f>IF(ISNUMBER(Datos!N16),Datos!N16," - ")</f>
        <v>481</v>
      </c>
      <c r="G16" s="416">
        <f t="shared" ref="G16:G20" si="4">IF(ISNUMBER(F16/B16),F16/B16," - ")</f>
        <v>160.33333333333334</v>
      </c>
      <c r="H16" s="415">
        <f>IF(ISNUMBER(Datos!O16),Datos!O16," - ")</f>
        <v>0</v>
      </c>
      <c r="I16" s="416">
        <f t="shared" ref="I16:I19" si="5">IF(ISNUMBER(H16/B16),H16/B16," - ")</f>
        <v>0</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1</v>
      </c>
      <c r="D18" s="415">
        <f>IF(ISNUMBER(Datos!M18),Datos!M18," - ")</f>
        <v>68</v>
      </c>
      <c r="E18" s="416">
        <f>IF(ISNUMBER(D18/B18),D18/B18," - ")</f>
        <v>34</v>
      </c>
      <c r="F18" s="415">
        <f>IF(ISNUMBER(Datos!N18),Datos!N18," - ")</f>
        <v>146</v>
      </c>
      <c r="G18" s="416">
        <f>IF(ISNUMBER(F18/B18),F18/B18," - ")</f>
        <v>73</v>
      </c>
      <c r="H18" s="415">
        <f>IF(ISNUMBER(Datos!O18),Datos!O18," - ")</f>
        <v>2</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137</v>
      </c>
      <c r="E20" s="997">
        <f t="shared" si="3"/>
        <v>27.4</v>
      </c>
      <c r="F20" s="996">
        <f>SUBTOTAL(9,F16:F19)</f>
        <v>627</v>
      </c>
      <c r="G20" s="997">
        <f t="shared" si="4"/>
        <v>125.4</v>
      </c>
      <c r="H20" s="996">
        <f>SUBTOTAL(9,H16:H19)</f>
        <v>2</v>
      </c>
      <c r="I20" s="997">
        <f>IF(ISNUMBER(H20/B20),H20/B20," - ")</f>
        <v>0.4</v>
      </c>
    </row>
    <row r="21" spans="1:9" ht="14.25" thickTop="1" thickBot="1">
      <c r="A21" s="940" t="str">
        <f>Datos!A21</f>
        <v>TOTAL JURISDICCIONES</v>
      </c>
      <c r="B21" s="941">
        <f>Datos!AP21</f>
        <v>9</v>
      </c>
      <c r="C21" s="941">
        <f>Datos!AR21</f>
        <v>9</v>
      </c>
      <c r="D21" s="941">
        <f>SUBTOTAL(9,D8:D20)</f>
        <v>432</v>
      </c>
      <c r="E21" s="942">
        <f>IF(ISNUMBER(D21/B21),D21/B21," - ")</f>
        <v>48</v>
      </c>
      <c r="F21" s="941">
        <f>SUBTOTAL(9,F8:F20)</f>
        <v>824</v>
      </c>
      <c r="G21" s="942">
        <f>IF(ISNUMBER(F21/B21),F21/B21," - ")</f>
        <v>91.555555555555557</v>
      </c>
      <c r="H21" s="941">
        <f>SUBTOTAL(9,H8:H20)</f>
        <v>265</v>
      </c>
      <c r="I21" s="942">
        <f>IF(ISNUMBER(H21/B21),H21/B21," - ")</f>
        <v>29.444444444444443</v>
      </c>
    </row>
    <row r="24" spans="1:9">
      <c r="A24" s="403" t="str">
        <f>Criterios!A4</f>
        <v>Fecha Informe: 06 jun. 2023</v>
      </c>
    </row>
    <row r="29" spans="1:9">
      <c r="A29" s="426"/>
    </row>
  </sheetData>
  <sheetProtection algorithmName="SHA-512" hashValue="oZr6m7M6IXdUvvqBC7ivo5cnrae9Vp81d4KjUNTn//JPRGKmInmGAJ7QPwS3d4ae7o3lbjSS9kPqquve/uiGPQ==" saltValue="5FwCq+A50LOUObdVOIiE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CACERES</v>
      </c>
    </row>
    <row r="4" spans="1:4" ht="13.5" thickBot="1">
      <c r="B4" s="403" t="str">
        <f>Criterios!A11 &amp;"  "&amp;Criterios!B11</f>
        <v>Resumenes por Partidos Judiciales  CACERES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405</v>
      </c>
      <c r="C9" s="451">
        <f>IF(ISNUMBER(Datos!Q9),Datos!Q9," - ")</f>
        <v>245</v>
      </c>
      <c r="D9" s="420">
        <f>IF(ISNUMBER(Datos!R9),Datos!R9," - ")</f>
        <v>3147</v>
      </c>
    </row>
    <row r="10" spans="1:4">
      <c r="A10" s="414" t="str">
        <f>Datos!A10</f>
        <v>Jdos. Violencia contra la mujer</v>
      </c>
      <c r="B10" s="450">
        <f>IF(ISNUMBER(Datos!P10),Datos!P10," - ")</f>
        <v>2</v>
      </c>
      <c r="C10" s="451">
        <f>IF(ISNUMBER(Datos!Q10),Datos!Q10," - ")</f>
        <v>0</v>
      </c>
      <c r="D10" s="420">
        <f>IF(ISNUMBER(Datos!R10),Datos!R10," - ")</f>
        <v>16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407</v>
      </c>
      <c r="C14" s="1000">
        <f>SUBTOTAL(9,C9:C13)</f>
        <v>245</v>
      </c>
      <c r="D14" s="998">
        <f>SUBTOTAL(9,D9:D13)</f>
        <v>3163</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27</v>
      </c>
      <c r="C16" s="451">
        <f>IF(ISNUMBER(Datos!Q16),Datos!Q16," - ")</f>
        <v>42</v>
      </c>
      <c r="D16" s="420">
        <f>IF(ISNUMBER(Datos!R16),Datos!R16," - ")</f>
        <v>112</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v>
      </c>
      <c r="C18" s="451">
        <f>IF(ISNUMBER(Datos!Q18),Datos!Q18," - ")</f>
        <v>4</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28</v>
      </c>
      <c r="C20" s="1000">
        <f>SUBTOTAL(9,C16:C19)</f>
        <v>46</v>
      </c>
      <c r="D20" s="998">
        <f>SUBTOTAL(9,D16:D19)</f>
        <v>115</v>
      </c>
    </row>
    <row r="21" spans="1:4" ht="16.5" customHeight="1" thickTop="1" thickBot="1">
      <c r="A21" s="940" t="str">
        <f>Datos!A21</f>
        <v>TOTAL JURISDICCIONES</v>
      </c>
      <c r="B21" s="945">
        <f>SUBTOTAL(9,B8:B20)</f>
        <v>435</v>
      </c>
      <c r="C21" s="946">
        <f>SUBTOTAL(9,C8:C20)</f>
        <v>291</v>
      </c>
      <c r="D21" s="947">
        <f>SUBTOTAL(9,D8:D20)</f>
        <v>3278</v>
      </c>
    </row>
    <row r="22" spans="1:4" ht="7.5" customHeight="1"/>
    <row r="23" spans="1:4" ht="6" customHeight="1"/>
    <row r="24" spans="1:4">
      <c r="A24" s="403" t="str">
        <f>Criterios!A4</f>
        <v>Fecha Informe: 06 jun. 2023</v>
      </c>
    </row>
    <row r="29" spans="1:4">
      <c r="A29" s="426"/>
    </row>
  </sheetData>
  <sheetProtection algorithmName="SHA-512" hashValue="ffFPfgFk6s1/FKvlYhlfNAx8eTIlWXpLgd2YkSFluvJBl5ikZiwc8cqc6tN/E9Rpo5TSHmaimJca3oNvgUnmeQ==" saltValue="hO/E6eLJ2pKNqLZwyJKG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CACERES</v>
      </c>
    </row>
    <row r="4" spans="1:11" ht="10.5" customHeight="1" thickBot="1">
      <c r="B4" s="403" t="str">
        <f>Criterios!A11 &amp;"  "&amp;Criterios!B11</f>
        <v>Resumenes por Partidos Judiciales  CACERES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9.5238095238095233E-2</v>
      </c>
      <c r="C10" s="473">
        <f>IF(ISNUMBER((Datos!J10-Datos!T10)/Datos!T10),(Datos!J10-Datos!T10)/Datos!T10," - ")</f>
        <v>1.0769230769230769</v>
      </c>
      <c r="D10" s="473">
        <f>IF(ISNUMBER((Datos!K10-Datos!U10)/Datos!U10),(Datos!K10-Datos!U10)/Datos!U10," - ")</f>
        <v>-0.22222222222222221</v>
      </c>
      <c r="E10" s="473">
        <f>IF(ISNUMBER((Datos!L10-Datos!V10)/Datos!V10),(Datos!L10-Datos!V10)/Datos!V10," - ")</f>
        <v>0.8571428571428571</v>
      </c>
      <c r="F10" s="473">
        <f>IF(ISNUMBER((Datos!M10-Datos!W10)/Datos!W10),(Datos!M10-Datos!W10)/Datos!W10," - ")</f>
        <v>-0.15384615384615385</v>
      </c>
      <c r="G10" s="474">
        <f>IF(ISNUMBER((Datos!N10-Datos!X10)/Datos!X10),(Datos!N10-Datos!X10)/Datos!X10," - ")</f>
        <v>-0.33333333333333331</v>
      </c>
      <c r="H10" s="472">
        <f>IF(ISNUMBER(((NºAsuntos!G10/NºAsuntos!E10)-Datos!BD10)/Datos!BD10),((NºAsuntos!G10/NºAsuntos!E10)-Datos!BD10)/Datos!BD10," - ")</f>
        <v>-0.62551440329218111</v>
      </c>
      <c r="I10" s="473">
        <f>IF(ISNUMBER(((NºAsuntos!I10/NºAsuntos!G10)-Datos!BE10)/Datos!BE10),((NºAsuntos!I10/NºAsuntos!G10)-Datos!BE10)/Datos!BE10," - ")</f>
        <v>1.3877551020408165</v>
      </c>
      <c r="J10" s="478">
        <f>IF(ISNUMBER((('Resol  Asuntos'!D10/NºAsuntos!G10)-Datos!BF10)/Datos!BF10),(('Resol  Asuntos'!D10/NºAsuntos!G10)-Datos!BF10)/Datos!BF10," - ")</f>
        <v>8.791208791208803E-2</v>
      </c>
      <c r="K10" s="479">
        <f>IF(ISNUMBER((((NºAsuntos!C10+NºAsuntos!E10)/NºAsuntos!G10)-Datos!BG10)/Datos!BG10),(((NºAsuntos!C10+NºAsuntos!E10)/NºAsuntos!G10)-Datos!BG10)/Datos!BG10," - ")</f>
        <v>0.7064935064935064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46.88095238095238</v>
      </c>
      <c r="C14" s="1002">
        <f>IF(ISNUMBER(
   IF(J_V="SI",(Datos!J14-Datos!T14)/Datos!T14,(Datos!J14+Datos!Z14-(Datos!T14+Datos!AH14))/(Datos!T14+Datos!AH14))
     ),IF(J_V="SI",(Datos!J14-Datos!T14)/Datos!T14,(Datos!J14+Datos!Z14-(Datos!T14+Datos!AH14))/(Datos!T14+Datos!AH14))," - ")</f>
        <v>116.46153846153847</v>
      </c>
      <c r="D14" s="1002">
        <f>IF(ISNUMBER(
   IF(J_V="SI",(Datos!K14-Datos!U14)/Datos!U14,(Datos!K14+Datos!AA14-(Datos!U14+Datos!AI14))/(Datos!U14+Datos!AI14))
     ),IF(J_V="SI",(Datos!K14-Datos!U14)/Datos!U14,(Datos!K14+Datos!AA14-(Datos!U14+Datos!AI14))/(Datos!U14+Datos!AI14))," - ")</f>
        <v>23.148148148148149</v>
      </c>
      <c r="E14" s="1002">
        <f>IF(ISNUMBER(
   IF(J_V="SI",(Datos!L14-Datos!V14)/Datos!V14,(Datos!L14+Datos!AB14-(Datos!V14+Datos!AJ14))/(Datos!V14+Datos!AJ14))
     ),IF(J_V="SI",(Datos!L14-Datos!V14)/Datos!V14,(Datos!L14+Datos!AB14-(Datos!V14+Datos!AJ14))/(Datos!V14+Datos!AJ14))," - ")</f>
        <v>98.75</v>
      </c>
      <c r="F14" s="1003">
        <f>IF(ISNUMBER((Datos!M14-Datos!W14)/Datos!W14),(Datos!M14-Datos!W14)/Datos!W14," - ")</f>
        <v>21.692307692307693</v>
      </c>
      <c r="G14" s="1004">
        <f>IF(ISNUMBER((Datos!N14-Datos!X14)/Datos!X14),(Datos!N14-Datos!X14)/Datos!X14," - ")</f>
        <v>20.888888888888889</v>
      </c>
      <c r="H14" s="1004">
        <f>IF(ISNUMBER(((NºAsuntos!G14/NºAsuntos!E14)-Datos!BD14)/Datos!BD14),((NºAsuntos!G14/NºAsuntos!E14)-Datos!BD14)/Datos!BD14," - ")</f>
        <v>-0.79441655145649903</v>
      </c>
      <c r="I14" s="1004">
        <f>IF(ISNUMBER(((NºAsuntos!I14/NºAsuntos!G14)-Datos!BE14)/Datos!BE14),((NºAsuntos!I14/NºAsuntos!G14)-Datos!BE14)/Datos!BE14," - ")</f>
        <v>3.1307515337423313</v>
      </c>
      <c r="J14" s="1004">
        <f>IF(ISNUMBER((('Resol  Asuntos'!D14/NºAsuntos!G14)-Datos!BF14)/Datos!BF14),(('Resol  Asuntos'!D14/NºAsuntos!G14)-Datos!BF14)/Datos!BF14," - ")</f>
        <v>-6.0287871637564841E-2</v>
      </c>
      <c r="K14" s="1004">
        <f>IF(ISNUMBER((((NºAsuntos!C14+NºAsuntos!E14)/NºAsuntos!G14)-Datos!BG14)/Datos!BG14),(((NºAsuntos!C14+NºAsuntos!E14)/NºAsuntos!G14)-Datos!BG14)/Datos!BG14," - ")</f>
        <v>1.6638594534300055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0.43956043956043955</v>
      </c>
      <c r="C18" s="473">
        <f>IF(ISNUMBER(
   IF(D_I="SI",(Datos!J18-Datos!T18)/Datos!T18,(Datos!J18+Datos!AD18-(Datos!T18+Datos!AL18))/(Datos!T18+Datos!AL18))
     ),IF(D_I="SI",(Datos!J18-Datos!T18)/Datos!T18,(Datos!J18+Datos!AD18-(Datos!T18+Datos!AL18))/(Datos!T18+Datos!AL18))," - ")</f>
        <v>2.8476190476190477</v>
      </c>
      <c r="D18" s="473">
        <f>IF(ISNUMBER(
   IF(D_I="SI",(Datos!K18-Datos!U18)/Datos!U18,(Datos!K18+Datos!AE18-(Datos!U18+Datos!AM18))/(Datos!U18+Datos!AM18))
     ),IF(D_I="SI",(Datos!K18-Datos!U18)/Datos!U18,(Datos!K18+Datos!AE18-(Datos!U18+Datos!AM18))/(Datos!U18+Datos!AM18))," - ")</f>
        <v>2.8163265306122449</v>
      </c>
      <c r="E18" s="473">
        <f>IF(ISNUMBER(
   IF(D_I="SI",(Datos!L18-Datos!V18)/Datos!V18,(Datos!L18+Datos!AF18-(Datos!V18+Datos!AN18))/(Datos!V18+Datos!AN18))
     ),IF(D_I="SI",(Datos!L18-Datos!V18)/Datos!V18,(Datos!L18+Datos!AF18-(Datos!V18+Datos!AN18))/(Datos!V18+Datos!AN18))," - ")</f>
        <v>0.28282828282828282</v>
      </c>
      <c r="F18" s="473">
        <f>IF(ISNUMBER((Datos!M18-Datos!W18)/Datos!W18),(Datos!M18-Datos!W18)/Datos!W18," - ")</f>
        <v>4.2307692307692308</v>
      </c>
      <c r="G18" s="474">
        <f>IF(ISNUMBER((Datos!N18-Datos!X18)/Datos!X18),(Datos!N18-Datos!X18)/Datos!X18," - ")</f>
        <v>1.1159420289855073</v>
      </c>
      <c r="H18" s="472">
        <f>IF(ISNUMBER(((NºAsuntos!G18/NºAsuntos!E18)-Datos!BD18)/Datos!BD18),((NºAsuntos!G18/NºAsuntos!E18)-Datos!BD18)/Datos!BD18," - ")</f>
        <v>-8.1329561527580998E-3</v>
      </c>
      <c r="I18" s="473">
        <f>IF(ISNUMBER(((NºAsuntos!I18/NºAsuntos!G18)-Datos!BE18)/Datos!BE18),((NºAsuntos!I18/NºAsuntos!G18)-Datos!BE18)/Datos!BE18," - ")</f>
        <v>-0.66385782963323059</v>
      </c>
      <c r="J18" s="478">
        <f>IF(ISNUMBER((('Resol  Asuntos'!D18/NºAsuntos!G18)-Datos!BF18)/Datos!BF18),(('Resol  Asuntos'!D18/NºAsuntos!G18)-Datos!BF18)/Datos!BF18," - ")</f>
        <v>0.37062937062937057</v>
      </c>
      <c r="K18" s="479">
        <f>IF(ISNUMBER((((NºAsuntos!C18+NºAsuntos!E18)/NºAsuntos!G18)-Datos!BG18)/Datos!BG18),(((NºAsuntos!C18+NºAsuntos!E18)/NºAsuntos!G18)-Datos!BG18)/Datos!BG18," - ")</f>
        <v>-0.28475935828877008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8.7472527472527464</v>
      </c>
      <c r="C20" s="1002">
        <f>IF(ISNUMBER(
   IF(Criterios!B14="SI",(Datos!J20-Datos!T20)/Datos!T20,(Datos!J20+Datos!AD20-(Datos!T20+Datos!AL20))/(Datos!T20+Datos!AL20))
     ),IF(Criterios!B14="SI",(Datos!J20-Datos!T20)/Datos!T20,(Datos!J20+Datos!AD20-(Datos!T20+Datos!AL20))/(Datos!T20+Datos!AL20))," - ")</f>
        <v>13.438095238095238</v>
      </c>
      <c r="D20" s="1002">
        <f>IF(ISNUMBER(
   IF(Criterios!B14="SI",(Datos!K20-Datos!U20)/Datos!U20,(Datos!K20+Datos!AE20-(Datos!U20+Datos!AM20))/(Datos!U20+Datos!AM20))
     ),IF(Criterios!B14="SI",(Datos!K20-Datos!U20)/Datos!U20,(Datos!K20+Datos!AE20-(Datos!U20+Datos!AM20))/(Datos!U20+Datos!AM20))," - ")</f>
        <v>10.826530612244898</v>
      </c>
      <c r="E20" s="1002">
        <f>IF(ISNUMBER(
   IF(Criterios!B14="SI",(Datos!L20-Datos!V20)/Datos!V20,(Datos!L20+Datos!AF20-(Datos!V20+Datos!AN20))/(Datos!V20+Datos!AN20))
     ),IF(Criterios!B14="SI",(Datos!L20-Datos!V20)/Datos!V20,(Datos!L20+Datos!AF20-(Datos!V20+Datos!AN20))/(Datos!V20+Datos!AN20))," - ")</f>
        <v>11.222222222222221</v>
      </c>
      <c r="F20" s="1003">
        <f>IF(ISNUMBER((Datos!M20-Datos!W20)/Datos!W20),(Datos!M20-Datos!W20)/Datos!W20," - ")</f>
        <v>9.5384615384615383</v>
      </c>
      <c r="G20" s="1004">
        <f>IF(ISNUMBER((Datos!N20-Datos!X20)/Datos!X20),(Datos!N20-Datos!X20)/Datos!X20," - ")</f>
        <v>8.0869565217391308</v>
      </c>
      <c r="H20" s="1004">
        <f>IF(ISNUMBER(((NºAsuntos!G20/NºAsuntos!E20)-Datos!BD20)/Datos!BD20),((NºAsuntos!G20/NºAsuntos!E20)-Datos!BD20)/Datos!BD20," - ")</f>
        <v>-0.18088013569543909</v>
      </c>
      <c r="I20" s="1004">
        <f>IF(ISNUMBER(((NºAsuntos!I20/NºAsuntos!G20)-Datos!BE20)/Datos!BE20),((NºAsuntos!I20/NºAsuntos!G20)-Datos!BE20)/Datos!BE20," - ")</f>
        <v>3.3457961844502067E-2</v>
      </c>
      <c r="J20" s="1004">
        <f>IF(ISNUMBER((('Resol  Asuntos'!D20/NºAsuntos!G20)-Datos!BF20)/Datos!BF20),(('Resol  Asuntos'!D20/NºAsuntos!G20)-Datos!BF20)/Datos!BF20," - ")</f>
        <v>-0.10891351961239801</v>
      </c>
      <c r="K20" s="1004">
        <f>IF(ISNUMBER((((NºAsuntos!C20+NºAsuntos!E20)/NºAsuntos!G20)-Datos!BG20)/Datos!BG20),(((NºAsuntos!C20+NºAsuntos!E20)/NºAsuntos!G20)-Datos!BG20)/Datos!BG20," - ")</f>
        <v>3.6669542709232061E-2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20.789473684210527</v>
      </c>
      <c r="C21" s="949">
        <f>IF(ISNUMBER(
   IF(J_V="SI",(Datos!J21-Datos!T21)/Datos!T21,(Datos!J21+Datos!Z21-(Datos!T21+Datos!AH21))/(Datos!T21+Datos!AH21))
     ),IF(J_V="SI",(Datos!J21-Datos!T21)/Datos!T21,(Datos!J21+Datos!Z21-(Datos!T21+Datos!AH21))/(Datos!T21+Datos!AH21))," - ")</f>
        <v>24.788135593220339</v>
      </c>
      <c r="D21" s="949">
        <f>IF(ISNUMBER(
   IF(J_V="SI",(Datos!K21-Datos!U21)/Datos!U21,(Datos!K21+Datos!AA21-(Datos!U21+Datos!AI21))/(Datos!U21+Datos!AI21))
     ),IF(J_V="SI",(Datos!K21-Datos!U21)/Datos!U21,(Datos!K21+Datos!AA21-(Datos!U21+Datos!AI21))/(Datos!U21+Datos!AI21))," - ")</f>
        <v>13.488</v>
      </c>
      <c r="E21" s="949">
        <f>IF(ISNUMBER(
   IF(J_V="SI",(Datos!L21-Datos!V21)/Datos!V21,(Datos!L21+Datos!AB21-(Datos!V21+Datos!AJ21))/(Datos!V21+Datos!AJ21))
     ),IF(J_V="SI",(Datos!L21-Datos!V21)/Datos!V21,(Datos!L21+Datos!AB21-(Datos!V21+Datos!AJ21))/(Datos!V21+Datos!AJ21))," - ")</f>
        <v>30.519685039370078</v>
      </c>
      <c r="F21" s="950">
        <f>IF(ISNUMBER((Datos!M21-Datos!W21)/Datos!W21),(Datos!M21-Datos!W21)/Datos!W21," - ")</f>
        <v>15.615384615384615</v>
      </c>
      <c r="G21" s="951">
        <f>IF(ISNUMBER((Datos!N21-Datos!X21)/Datos!X21),(Datos!N21-Datos!X21)/Datos!X21," - ")</f>
        <v>9.5641025641025639</v>
      </c>
      <c r="H21" s="952">
        <f>IF(ISNUMBER((Tasas!B21-Datos!BD21)/Datos!BD21),(Tasas!B21-Datos!BD21)/Datos!BD21," - ")</f>
        <v>-0.43819125862635561</v>
      </c>
      <c r="I21" s="953">
        <f>IF(ISNUMBER((Tasas!C21-Datos!BE21)/Datos!BE21),(Tasas!C21-Datos!BE21)/Datos!BE21," - ")</f>
        <v>1.1755718552850689</v>
      </c>
      <c r="J21" s="954">
        <f>IF(ISNUMBER((Tasas!D21-Datos!BF21)/Datos!BF21),(Tasas!D21-Datos!BF21)/Datos!BF21," - ")</f>
        <v>0.14683770122754114</v>
      </c>
      <c r="K21" s="954">
        <f>IF(ISNUMBER((Tasas!E21-Datos!BG21)/Datos!BG21),(Tasas!E21-Datos!BG21)/Datos!BG21," - ")</f>
        <v>0.63371912680586329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fXai2Y/8QUZa1FSw1JVASTK1k0RAOlU4EhX4w0XcdbludIOdHKhiDQCRqMqb1wFeFS72Mi8Vr2FlM34At/422Q==" saltValue="1MduyYqUnShxM3xEvHJ8r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CACERES</v>
      </c>
    </row>
    <row r="4" spans="1:7" ht="11.25" customHeight="1" thickBot="1">
      <c r="B4" s="403" t="str">
        <f>Criterios!A11 &amp;"  "&amp;Criterios!B11</f>
        <v>Resumenes por Partidos Judiciales  CACERES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0.42066666666666669</v>
      </c>
      <c r="C9" s="460">
        <f>IF(ISNUMBER(NºAsuntos!I9/NºAsuntos!G9),NºAsuntos!I9/NºAsuntos!G9," - ")</f>
        <v>4.3438985736925515</v>
      </c>
      <c r="D9" s="461">
        <f>IF(ISNUMBER('Resol  Asuntos'!D9/NºAsuntos!G9),'Resol  Asuntos'!D9/NºAsuntos!G9," - ")</f>
        <v>0.45007923930269411</v>
      </c>
      <c r="E9" s="462">
        <f>IF(ISNUMBER((NºAsuntos!C9+NºAsuntos!E9)/NºAsuntos!G9),(NºAsuntos!C9+NºAsuntos!E9)/NºAsuntos!G9," - ")</f>
        <v>5.4912836767036453</v>
      </c>
      <c r="G9" s="480"/>
    </row>
    <row r="10" spans="1:7">
      <c r="A10" s="414" t="str">
        <f>Datos!A10</f>
        <v>Jdos. Violencia contra la mujer</v>
      </c>
      <c r="B10" s="459">
        <f>IF(ISNUMBER(NºAsuntos!G10/NºAsuntos!E10),NºAsuntos!G10/NºAsuntos!E10," - ")</f>
        <v>0.77777777777777779</v>
      </c>
      <c r="C10" s="460">
        <f>IF(ISNUMBER(NºAsuntos!I10/NºAsuntos!G10),NºAsuntos!I10/NºAsuntos!G10," - ")</f>
        <v>2.4761904761904763</v>
      </c>
      <c r="D10" s="461">
        <f>IF(ISNUMBER('Resol  Asuntos'!D10/NºAsuntos!G10),'Resol  Asuntos'!D10/NºAsuntos!G10," - ")</f>
        <v>0.52380952380952384</v>
      </c>
      <c r="E10" s="462">
        <f>IF(ISNUMBER((NºAsuntos!C10+NºAsuntos!E10)/NºAsuntos!G10),(NºAsuntos!C10+NºAsuntos!E10)/NºAsuntos!G10," - ")</f>
        <v>3.4761904761904763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0.42698100851342502</v>
      </c>
      <c r="C14" s="1006">
        <f>IF(ISNUMBER(NºAsuntos!I14/NºAsuntos!G14),NºAsuntos!I14/NºAsuntos!G14," - ")</f>
        <v>4.2837423312883436</v>
      </c>
      <c r="D14" s="1007">
        <f>IF(ISNUMBER('Resol  Asuntos'!D14/NºAsuntos!G14),'Resol  Asuntos'!D14/NºAsuntos!G14," - ")</f>
        <v>0.45245398773006135</v>
      </c>
      <c r="E14" s="1008">
        <f>IF(ISNUMBER((NºAsuntos!C14+NºAsuntos!E14)/NºAsuntos!G14),(NºAsuntos!C14+NºAsuntos!E14)/NºAsuntos!G14," - ")</f>
        <v>5.4263803680981599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0.7059352517985612</v>
      </c>
      <c r="C16" s="460">
        <f>IF(ISNUMBER(NºAsuntos!I16/NºAsuntos!G16),NºAsuntos!I16/NºAsuntos!G16," - ")</f>
        <v>1.3796178343949044</v>
      </c>
      <c r="D16" s="461">
        <f>IF(ISNUMBER('Resol  Asuntos'!D16/NºAsuntos!G16),'Resol  Asuntos'!D16/NºAsuntos!G16," - ")</f>
        <v>8.7898089171974517E-2</v>
      </c>
      <c r="E16" s="462">
        <f>IF(ISNUMBER((NºAsuntos!C16+NºAsuntos!E16)/NºAsuntos!G16),(NºAsuntos!C16+NºAsuntos!E16)/NºAsuntos!G16," - ")</f>
        <v>2.3796178343949044</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0.92574257425742579</v>
      </c>
      <c r="C18" s="460">
        <f>IF(ISNUMBER(NºAsuntos!I18/NºAsuntos!G18),NºAsuntos!I18/NºAsuntos!G18," - ")</f>
        <v>0.33957219251336901</v>
      </c>
      <c r="D18" s="461">
        <f>IF(ISNUMBER('Resol  Asuntos'!D18/NºAsuntos!G18),'Resol  Asuntos'!D18/NºAsuntos!G18," - ")</f>
        <v>0.18181818181818182</v>
      </c>
      <c r="E18" s="462">
        <f>IF(ISNUMBER((NºAsuntos!C18+NºAsuntos!E18)/NºAsuntos!G18),(NºAsuntos!C18+NºAsuntos!E18)/NºAsuntos!G18," - ")</f>
        <v>1.4304812834224598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0.76451187335092352</v>
      </c>
      <c r="C20" s="1006">
        <f>IF(ISNUMBER(NºAsuntos!I20/NºAsuntos!G20),NºAsuntos!I20/NºAsuntos!G20," - ")</f>
        <v>1.0440034512510785</v>
      </c>
      <c r="D20" s="1009">
        <f>IF(ISNUMBER('Resol  Asuntos'!D20/NºAsuntos!G20),'Resol  Asuntos'!D20/NºAsuntos!G20," - ")</f>
        <v>0.1182053494391717</v>
      </c>
      <c r="E20" s="1008">
        <f>IF(ISNUMBER((NºAsuntos!C20+NºAsuntos!E20)/NºAsuntos!G20),(NºAsuntos!C20+NºAsuntos!E20)/NºAsuntos!G20," - ")</f>
        <v>2.0733390854184641</v>
      </c>
      <c r="G20" s="480"/>
    </row>
    <row r="21" spans="1:7" ht="15.75" customHeight="1" thickTop="1" thickBot="1">
      <c r="A21" s="940" t="str">
        <f>Datos!A21</f>
        <v>TOTAL JURISDICCIONES</v>
      </c>
      <c r="B21" s="955">
        <f>IF(ISNUMBER(NºAsuntos!G21/NºAsuntos!E21),NºAsuntos!G21/NºAsuntos!E21," - ")</f>
        <v>0.59513637857377588</v>
      </c>
      <c r="C21" s="956">
        <f>IF(ISNUMBER(NºAsuntos!I21/NºAsuntos!G21),NºAsuntos!I21/NºAsuntos!G21," - ")</f>
        <v>2.21038100496963</v>
      </c>
      <c r="D21" s="957">
        <f>IF(ISNUMBER('Resol  Asuntos'!D21/NºAsuntos!G21),'Resol  Asuntos'!D21/NºAsuntos!G21," - ")</f>
        <v>0.23854224185532855</v>
      </c>
      <c r="E21" s="958">
        <f>IF(ISNUMBER((NºAsuntos!C21+NºAsuntos!E21)/NºAsuntos!G21),(NºAsuntos!C21+NºAsuntos!E21)/NºAsuntos!G21," - ")</f>
        <v>3.2805080066261736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aioTw4SiFsQAZRQoAb120paI/gVHfZ4jWy91e0mfEhrxdI6nGFOG7poRxf6YueXe1/RrXCENnLTws5b8uMS5w==" saltValue="A+dpBp1c1DhtCZDyH1/Zg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CACERES</v>
      </c>
      <c r="N2" s="339" t="str">
        <f>Criterios!A11 &amp;"  "&amp;Criterios!B11</f>
        <v>Resumenes por Partidos Judiciales  CACERES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405</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245</v>
      </c>
      <c r="Y9" s="344">
        <f>SUM(W9:X9)</f>
        <v>245</v>
      </c>
      <c r="Z9" s="345" t="str">
        <f>IF(ISNUMBER(Datos!CC9),Datos!CC9," - ")</f>
        <v xml:space="preserve"> - </v>
      </c>
      <c r="AA9" s="342" t="str">
        <f>IF(ISNUMBER(IF(J_V="SI",Datos!L9,Datos!L9+Datos!AB9)-IF(Monitorios="SI",Datos!CD9,0)),
                          IF(J_V="SI",Datos!L9,Datos!L9+Datos!AB9)-IF(Monitorios="SI",Datos!CD9,0),
                          " - ")</f>
        <v xml:space="preserve"> - </v>
      </c>
      <c r="AB9" s="344">
        <f>IF(ISNUMBER(Datos!R9),Datos!R9," - ")</f>
        <v>3147</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284</v>
      </c>
      <c r="AJ9" s="234" t="str">
        <f>IF(ISNUMBER(Datos!BW9),Datos!BW9," - ")</f>
        <v xml:space="preserve"> - </v>
      </c>
      <c r="AK9" s="233" t="str">
        <f>IF(ISNUMBER(Datos!BX9),Datos!BX9," - ")</f>
        <v xml:space="preserve"> - </v>
      </c>
      <c r="AL9" s="248">
        <f>IF(ISNUMBER(NºAsuntos!G9/NºAsuntos!E9),NºAsuntos!G9/NºAsuntos!E9," - ")</f>
        <v>0.42066666666666669</v>
      </c>
      <c r="AM9" s="265">
        <f>IF(ISNUMBER(((NºAsuntos!I9/NºAsuntos!G9)*11)/factor_trimestre),((NºAsuntos!I9/NºAsuntos!G9)*11)/factor_trimestre," - ")</f>
        <v>13.031695721077655</v>
      </c>
      <c r="AN9" s="249">
        <f>IF(ISNUMBER('Resol  Asuntos'!D9/NºAsuntos!G9),'Resol  Asuntos'!D9/NºAsuntos!G9," - ")</f>
        <v>0.45007923930269411</v>
      </c>
      <c r="AO9" s="250">
        <f>IF(ISNUMBER((NºAsuntos!C9+NºAsuntos!E9)/NºAsuntos!G9),(NºAsuntos!C9+NºAsuntos!E9)/NºAsuntos!G9," - ")</f>
        <v>5.4912836767036453</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1</v>
      </c>
      <c r="F10" s="230">
        <f>IF(ISNUMBER(Datos!L10+Datos!K10-Datos!J10-K10),Datos!L10+Datos!K10-Datos!J10-K10," - ")</f>
        <v>46</v>
      </c>
      <c r="G10" s="343">
        <f>IF(ISNUMBER(Datos!I10),Datos!I10," - ")</f>
        <v>46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21</v>
      </c>
      <c r="X10" s="231">
        <f>IF(ISNUMBER(Datos!Q10),Datos!Q10," - ")</f>
        <v>0</v>
      </c>
      <c r="Y10" s="344">
        <f t="shared" ref="Y10:Y13" si="0">SUM(W10:X10)</f>
        <v>21</v>
      </c>
      <c r="Z10" s="345" t="str">
        <f>IF(ISNUMBER(Datos!CC10),Datos!CC10," - ")</f>
        <v xml:space="preserve"> - </v>
      </c>
      <c r="AA10" s="342">
        <f>IF(ISNUMBER(Datos!L10),Datos!L10,"-")</f>
        <v>52</v>
      </c>
      <c r="AB10" s="344">
        <f>IF(ISNUMBER(Datos!R10),Datos!R10," - ")</f>
        <v>16</v>
      </c>
      <c r="AC10" s="344">
        <f t="shared" ref="AC10:AC13" si="1">IF(ISNUMBER(AA10+AB10),AA10+AB10," - ")</f>
        <v>68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11</v>
      </c>
      <c r="AJ10" s="236" t="str">
        <f>IF(ISNUMBER(Datos!BW10),Datos!BW10," - ")</f>
        <v xml:space="preserve"> - </v>
      </c>
      <c r="AK10" s="237" t="str">
        <f>IF(ISNUMBER(Datos!BX10),Datos!BX10," - ")</f>
        <v xml:space="preserve"> - </v>
      </c>
      <c r="AL10" s="248">
        <f>IF(ISNUMBER(NºAsuntos!G10/NºAsuntos!E10),NºAsuntos!G10/NºAsuntos!E10," - ")</f>
        <v>0.77777777777777779</v>
      </c>
      <c r="AM10" s="265">
        <f>IF(ISNUMBER(((NºAsuntos!I10/NºAsuntos!G10)*11)/factor_trimestre),((NºAsuntos!I10/NºAsuntos!G10)*11)/factor_trimestre," - ")</f>
        <v>7.4285714285714297</v>
      </c>
      <c r="AN10" s="249">
        <f>IF(ISNUMBER('Resol  Asuntos'!D10/NºAsuntos!G10),'Resol  Asuntos'!D10/NºAsuntos!G10," - ")</f>
        <v>0.52380952380952384</v>
      </c>
      <c r="AO10" s="250">
        <f>IF(ISNUMBER((NºAsuntos!C10+NºAsuntos!E10)/NºAsuntos!G10),(NºAsuntos!C10+NºAsuntos!E10)/NºAsuntos!G10," - ")</f>
        <v>3.4761904761904763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46</v>
      </c>
      <c r="G14" s="1013">
        <f t="shared" si="5"/>
        <v>46</v>
      </c>
      <c r="H14" s="1012">
        <f t="shared" si="5"/>
        <v>0</v>
      </c>
      <c r="I14" s="1014">
        <f t="shared" si="5"/>
        <v>0</v>
      </c>
      <c r="J14" s="1014">
        <f t="shared" si="5"/>
        <v>0</v>
      </c>
      <c r="K14" s="1014">
        <f t="shared" si="5"/>
        <v>0</v>
      </c>
      <c r="L14" s="1014">
        <f t="shared" si="5"/>
        <v>407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21</v>
      </c>
      <c r="X14" s="1014">
        <f t="shared" si="6"/>
        <v>245</v>
      </c>
      <c r="Y14" s="1015">
        <f t="shared" si="6"/>
        <v>266</v>
      </c>
      <c r="Z14" s="1015">
        <f t="shared" si="6"/>
        <v>0</v>
      </c>
      <c r="AA14" s="1015">
        <f t="shared" si="6"/>
        <v>52</v>
      </c>
      <c r="AB14" s="1015">
        <f t="shared" si="6"/>
        <v>3163</v>
      </c>
      <c r="AC14" s="1015">
        <f t="shared" si="6"/>
        <v>68</v>
      </c>
      <c r="AD14" s="1015">
        <f t="shared" si="6"/>
        <v>0</v>
      </c>
      <c r="AE14" s="1019">
        <f t="shared" si="6"/>
        <v>0</v>
      </c>
      <c r="AF14" s="1012">
        <f t="shared" si="6"/>
        <v>0</v>
      </c>
      <c r="AG14" s="1020">
        <f t="shared" si="6"/>
        <v>0</v>
      </c>
      <c r="AH14" s="1017">
        <f t="shared" si="6"/>
        <v>0</v>
      </c>
      <c r="AI14" s="1012">
        <f t="shared" si="6"/>
        <v>295</v>
      </c>
      <c r="AJ14" s="1014">
        <f t="shared" si="6"/>
        <v>0</v>
      </c>
      <c r="AK14" s="1017">
        <f>SUBTOTAL(9,AK9:AK13)</f>
        <v>0</v>
      </c>
      <c r="AL14" s="1021">
        <f>IF(ISNUMBER(NºAsuntos!G14/NºAsuntos!E14),NºAsuntos!G14/NºAsuntos!E14," - ")</f>
        <v>0.42698100851342502</v>
      </c>
      <c r="AM14" s="1021">
        <f>IF(ISNUMBER(((NºAsuntos!I14/NºAsuntos!G14)*11)/factor_trimestre),((NºAsuntos!I14/NºAsuntos!G14)*11)/factor_trimestre," - ")</f>
        <v>12.851226993865032</v>
      </c>
      <c r="AN14" s="1022">
        <f>IF(ISNUMBER('Resol  Asuntos'!D14/NºAsuntos!G14),'Resol  Asuntos'!D14/NºAsuntos!G14," - ")</f>
        <v>0.45245398773006135</v>
      </c>
      <c r="AO14" s="1023">
        <f>IF(ISNUMBER((NºAsuntos!C14+NºAsuntos!E14)/NºAsuntos!G14),(NºAsuntos!C14+NºAsuntos!E14)/NºAsuntos!G14," - ")</f>
        <v>5.4263803680981599</v>
      </c>
      <c r="AP14" s="1024" t="str">
        <f t="shared" si="2"/>
        <v xml:space="preserve"> - </v>
      </c>
      <c r="AQ14" s="1024">
        <f>IF(ISNUMBER((H14-W14+K14)/(F14)),(H14-W14+K14)/(F14)," - ")</f>
        <v>-0.45652173913043476</v>
      </c>
      <c r="AR14" s="1025">
        <f>IF(ISNUMBER((Datos!P14-Datos!Q14)/(Datos!R14-Datos!P14+Datos!Q14)),(Datos!P14-Datos!Q14)/(Datos!R14-Datos!P14+Datos!Q14)," - ")</f>
        <v>5.3982005998000668E-2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756</v>
      </c>
      <c r="G16" s="343">
        <f>IF(ISNUMBER(IF(D_I="SI",Datos!I16,Datos!I16+Datos!AC16)),IF(D_I="SI",Datos!I16,Datos!I16+Datos!AC16)," - ")</f>
        <v>756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27</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785</v>
      </c>
      <c r="X16" s="231">
        <f>IF(ISNUMBER(Datos!Q16),Datos!Q16," - ")</f>
        <v>42</v>
      </c>
      <c r="Y16" s="344">
        <f>SUM(W16)</f>
        <v>785</v>
      </c>
      <c r="Z16" s="345" t="str">
        <f>IF(ISNUMBER(Datos!CC16),Datos!CC16," - ")</f>
        <v xml:space="preserve"> - </v>
      </c>
      <c r="AA16" s="342">
        <f>IF(ISNUMBER(IF(D_I="SI",Datos!L16,Datos!L16+Datos!AF16)),IF(D_I="SI",Datos!L16,Datos!L16+Datos!AF16)," - ")</f>
        <v>1083</v>
      </c>
      <c r="AB16" s="344">
        <f>IF(ISNUMBER(Datos!R16),Datos!R16," - ")</f>
        <v>112</v>
      </c>
      <c r="AC16" s="344">
        <f t="shared" ref="AC16:AC19" si="8">IF(ISNUMBER(AA16+AB16),AA16+AB16," - ")</f>
        <v>1195</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69</v>
      </c>
      <c r="AJ16" s="236" t="str">
        <f>IF(ISNUMBER(Datos!BW16),Datos!BW16," - ")</f>
        <v xml:space="preserve"> - </v>
      </c>
      <c r="AK16" s="237" t="str">
        <f>IF(ISNUMBER(Datos!BX16),Datos!BX16," - ")</f>
        <v xml:space="preserve"> - </v>
      </c>
      <c r="AL16" s="248">
        <f>IF(ISNUMBER(NºAsuntos!G16/NºAsuntos!E16),NºAsuntos!G16/NºAsuntos!E16," - ")</f>
        <v>0.7059352517985612</v>
      </c>
      <c r="AM16" s="265">
        <f>IF(ISNUMBER(((NºAsuntos!I16/NºAsuntos!G16)*11)/factor_trimestre),((NºAsuntos!I16/NºAsuntos!G16)*11)/factor_trimestre," - ")</f>
        <v>4.1388535031847136</v>
      </c>
      <c r="AN16" s="249">
        <f>IF(ISNUMBER('Resol  Asuntos'!D16/NºAsuntos!G16),'Resol  Asuntos'!D16/NºAsuntos!G16," - ")</f>
        <v>8.7898089171974517E-2</v>
      </c>
      <c r="AO16" s="250">
        <f>IF(ISNUMBER((NºAsuntos!C16+NºAsuntos!E16)/NºAsuntos!G16),(NºAsuntos!C16+NºAsuntos!E16)/NºAsuntos!G16," - ")</f>
        <v>2.3796178343949044</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131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374</v>
      </c>
      <c r="X18" s="231">
        <f>IF(ISNUMBER(Datos!Q18),Datos!Q18," - ")</f>
        <v>4</v>
      </c>
      <c r="Y18" s="344">
        <f t="shared" si="9"/>
        <v>378</v>
      </c>
      <c r="Z18" s="345" t="str">
        <f>IF(ISNUMBER(Datos!CC18),Datos!CC18," - ")</f>
        <v xml:space="preserve"> - </v>
      </c>
      <c r="AA18" s="342">
        <f>IF(ISNUMBER(Datos!L18),Datos!L18,"-")</f>
        <v>127</v>
      </c>
      <c r="AB18" s="344">
        <f>IF(ISNUMBER(Datos!R18),Datos!R18," - ")</f>
        <v>3</v>
      </c>
      <c r="AC18" s="344">
        <f t="shared" si="8"/>
        <v>130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68</v>
      </c>
      <c r="AJ18" s="236" t="str">
        <f>IF(ISNUMBER(Datos!BW18),Datos!BW18," - ")</f>
        <v xml:space="preserve"> - </v>
      </c>
      <c r="AK18" s="237" t="str">
        <f>IF(ISNUMBER(Datos!BX18),Datos!BX18," - ")</f>
        <v xml:space="preserve"> - </v>
      </c>
      <c r="AL18" s="248">
        <f>IF(ISNUMBER(NºAsuntos!G18/NºAsuntos!E18),NºAsuntos!G18/NºAsuntos!E18," - ")</f>
        <v>0.92574257425742579</v>
      </c>
      <c r="AM18" s="265">
        <f>IF(ISNUMBER(((NºAsuntos!I18/NºAsuntos!G18)*11)/factor_trimestre),((NºAsuntos!I18/NºAsuntos!G18)*11)/factor_trimestre," - ")</f>
        <v>1.018716577540107</v>
      </c>
      <c r="AN18" s="249">
        <f>IF(ISNUMBER('Resol  Asuntos'!D18/NºAsuntos!G18),'Resol  Asuntos'!D18/NºAsuntos!G18," - ")</f>
        <v>0.18181818181818182</v>
      </c>
      <c r="AO18" s="250">
        <f>IF(ISNUMBER((NºAsuntos!C18+NºAsuntos!E18)/NºAsuntos!G18),(NºAsuntos!C18+NºAsuntos!E18)/NºAsuntos!G18," - ")</f>
        <v>1.4304812834224598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756</v>
      </c>
      <c r="G20" s="1013">
        <f>SUBTOTAL(9,G16:G19)</f>
        <v>887</v>
      </c>
      <c r="H20" s="1012">
        <f t="shared" ref="H20:O20" si="12">SUBTOTAL(9,H15:H19)</f>
        <v>0</v>
      </c>
      <c r="I20" s="1014">
        <f t="shared" si="12"/>
        <v>0</v>
      </c>
      <c r="J20" s="1014">
        <f t="shared" si="12"/>
        <v>0</v>
      </c>
      <c r="K20" s="1014">
        <f t="shared" si="12"/>
        <v>0</v>
      </c>
      <c r="L20" s="1014">
        <f t="shared" si="12"/>
        <v>28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1159</v>
      </c>
      <c r="X20" s="1014">
        <f t="shared" si="13"/>
        <v>46</v>
      </c>
      <c r="Y20" s="1015">
        <f t="shared" si="13"/>
        <v>1163</v>
      </c>
      <c r="Z20" s="1015">
        <f t="shared" si="13"/>
        <v>0</v>
      </c>
      <c r="AA20" s="1015">
        <f t="shared" si="13"/>
        <v>1210</v>
      </c>
      <c r="AB20" s="1015">
        <f t="shared" si="13"/>
        <v>115</v>
      </c>
      <c r="AC20" s="1015">
        <f t="shared" si="13"/>
        <v>1325</v>
      </c>
      <c r="AD20" s="1015">
        <f t="shared" si="13"/>
        <v>0</v>
      </c>
      <c r="AE20" s="1019">
        <f t="shared" si="13"/>
        <v>0</v>
      </c>
      <c r="AF20" s="1012">
        <f t="shared" si="13"/>
        <v>0</v>
      </c>
      <c r="AG20" s="1020">
        <f t="shared" si="13"/>
        <v>0</v>
      </c>
      <c r="AH20" s="1017">
        <f t="shared" si="13"/>
        <v>0</v>
      </c>
      <c r="AI20" s="1012">
        <f t="shared" si="13"/>
        <v>137</v>
      </c>
      <c r="AJ20" s="1014">
        <f t="shared" si="13"/>
        <v>0</v>
      </c>
      <c r="AK20" s="1017">
        <f t="shared" si="13"/>
        <v>0</v>
      </c>
      <c r="AL20" s="1021">
        <f>IF(ISNUMBER(NºAsuntos!G20/NºAsuntos!E20),NºAsuntos!G20/NºAsuntos!E20," - ")</f>
        <v>0.76451187335092352</v>
      </c>
      <c r="AM20" s="1021">
        <f>IF(ISNUMBER(((NºAsuntos!I20/NºAsuntos!G20)*11)/factor_trimestre),((NºAsuntos!I20/NºAsuntos!G20)*11)/factor_trimestre," - ")</f>
        <v>3.1320103537532358</v>
      </c>
      <c r="AN20" s="1022">
        <f>IF(ISNUMBER('Resol  Asuntos'!D20/NºAsuntos!G20),'Resol  Asuntos'!D20/NºAsuntos!G20," - ")</f>
        <v>0.1182053494391717</v>
      </c>
      <c r="AO20" s="1023">
        <f>IF(ISNUMBER((NºAsuntos!C20+NºAsuntos!E20)/NºAsuntos!G20),(NºAsuntos!C20+NºAsuntos!E20)/NºAsuntos!G20," - ")</f>
        <v>2.0733390854184641</v>
      </c>
      <c r="AP20" s="1024" t="str">
        <f t="shared" si="2"/>
        <v xml:space="preserve"> - </v>
      </c>
      <c r="AQ20" s="1024">
        <f>IF(ISNUMBER((H20-W20+K20)/(F20)),(H20-W20+K20)/(F20)," - ")</f>
        <v>-1.533068783068783</v>
      </c>
      <c r="AR20" s="1025">
        <f>IF(ISNUMBER((Datos!P20-Datos!Q20)/(Datos!R20-Datos!P20+Datos!Q20)),(Datos!P20-Datos!Q20)/(Datos!R20-Datos!P20+Datos!Q20)," - ")</f>
        <v>-0.13533834586466165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802</v>
      </c>
      <c r="G21" s="968">
        <f t="shared" si="15"/>
        <v>933</v>
      </c>
      <c r="H21" s="967">
        <f t="shared" si="15"/>
        <v>0</v>
      </c>
      <c r="I21" s="969">
        <f t="shared" si="15"/>
        <v>0</v>
      </c>
      <c r="J21" s="969">
        <f t="shared" si="15"/>
        <v>0</v>
      </c>
      <c r="K21" s="1028">
        <f t="shared" si="15"/>
        <v>0</v>
      </c>
      <c r="L21" s="969">
        <f t="shared" si="15"/>
        <v>435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1180</v>
      </c>
      <c r="X21" s="968">
        <f t="shared" si="16"/>
        <v>291</v>
      </c>
      <c r="Y21" s="975">
        <f t="shared" si="16"/>
        <v>1429</v>
      </c>
      <c r="Z21" s="975">
        <f t="shared" si="16"/>
        <v>0</v>
      </c>
      <c r="AA21" s="975">
        <f t="shared" si="16"/>
        <v>1262</v>
      </c>
      <c r="AB21" s="975">
        <f t="shared" si="16"/>
        <v>3278</v>
      </c>
      <c r="AC21" s="975">
        <f t="shared" si="16"/>
        <v>1393</v>
      </c>
      <c r="AD21" s="975">
        <f t="shared" si="16"/>
        <v>0</v>
      </c>
      <c r="AE21" s="977">
        <f t="shared" si="16"/>
        <v>0</v>
      </c>
      <c r="AF21" s="978">
        <f t="shared" si="16"/>
        <v>0</v>
      </c>
      <c r="AG21" s="979">
        <f t="shared" si="16"/>
        <v>0</v>
      </c>
      <c r="AH21" s="977">
        <f t="shared" si="16"/>
        <v>0</v>
      </c>
      <c r="AI21" s="967">
        <f t="shared" si="16"/>
        <v>432</v>
      </c>
      <c r="AJ21" s="967">
        <f t="shared" si="16"/>
        <v>0</v>
      </c>
      <c r="AK21" s="977">
        <f t="shared" si="16"/>
        <v>0</v>
      </c>
      <c r="AL21" s="1031">
        <f>IF(ISNUMBER(NºAsuntos!G21/NºAsuntos!E21),NºAsuntos!G21/NºAsuntos!E21," - ")</f>
        <v>0.59513637857377588</v>
      </c>
      <c r="AM21" s="1032">
        <f>IF(ISNUMBER(((NºAsuntos!I21/NºAsuntos!G21)*11)/factor_trimestre),((NºAsuntos!I21/NºAsuntos!G21)*11)/factor_trimestre," - ")</f>
        <v>6.6311430149088899</v>
      </c>
      <c r="AN21" s="1032">
        <f>IF(ISNUMBER('Resol  Asuntos'!D21/NºAsuntos!G21),'Resol  Asuntos'!D21/NºAsuntos!G21," - ")</f>
        <v>0.23854224185532855</v>
      </c>
      <c r="AO21" s="1033">
        <f>IF(ISNUMBER((NºAsuntos!C21+NºAsuntos!E21)/NºAsuntos!G21),(NºAsuntos!C21+NºAsuntos!E21)/NºAsuntos!G21," - ")</f>
        <v>3.2805080066261736</v>
      </c>
      <c r="AP21" s="1034" t="str">
        <f t="shared" si="2"/>
        <v xml:space="preserve"> - </v>
      </c>
      <c r="AQ21" s="1035">
        <f>IF(OR(ISNUMBER(FIND("01",Criterios!A8,1)),ISNUMBER(FIND("02",Criterios!A8,1)),ISNUMBER(FIND("03",Criterios!A8,1)),ISNUMBER(FIND("04",Criterios!A8,1))),(I21-W21+K21)/(F21-K21),(H21-W21+K21)/(F21-K21))</f>
        <v>-1.4713216957605986</v>
      </c>
      <c r="AR21" s="1036">
        <f>IF(ISNUMBER((Datos!P21-Datos!Q21)/(Datos!R21-Datos!P21+Datos!Q21)),(Datos!P21-Datos!Q21)/(Datos!R21-Datos!P21+Datos!Q21)," - ")</f>
        <v>4.5947670708359922E-2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373.2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2.2723636072680717</v>
      </c>
      <c r="F23" s="257">
        <f>IF(ISNUMBER(STDEV(F8:F20)),STDEV(F8:F20),"-")</f>
        <v>409.91869112463428</v>
      </c>
      <c r="G23" s="258">
        <f>IF(ISNUMBER(STDEV(G8:G20)),STDEV(G8:G20),"-")</f>
        <v>413.31186772218388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496.57426433515462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119.61605243444544</v>
      </c>
      <c r="AJ23" s="257">
        <f t="shared" si="20"/>
        <v>0</v>
      </c>
      <c r="AK23" s="259">
        <f t="shared" si="20"/>
        <v>0</v>
      </c>
      <c r="AL23" s="254">
        <f t="shared" si="20"/>
        <v>0.20419062502706983</v>
      </c>
      <c r="AM23" s="255">
        <f t="shared" si="20"/>
        <v>5.0931054387718904</v>
      </c>
      <c r="AN23" s="255">
        <f t="shared" si="20"/>
        <v>0.19381756630530173</v>
      </c>
      <c r="AO23" s="256">
        <f t="shared" si="20"/>
        <v>1.7414472837182011</v>
      </c>
      <c r="AP23" s="296" t="str">
        <f t="shared" si="20"/>
        <v>-</v>
      </c>
      <c r="AQ23" s="297">
        <f t="shared" si="20"/>
        <v>0.76123371503513826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CSb3jSjI7a7Rq2SOgG712H6Y1nQN1Ubu9XI0dT8FBZ+3bTsK3PtX0zmVICotwmoFCzE4EJSAkzYbcGW71tcXg==" saltValue="yiFdYgdGQD1NuaWFRV2M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CACERES</v>
      </c>
      <c r="E3" s="268"/>
    </row>
    <row r="4" spans="2:20" ht="17.25" customHeight="1" thickBot="1">
      <c r="D4" s="267" t="str">
        <f>Criterios!A11 &amp;"  "&amp;Criterios!B11</f>
        <v>Resumenes por Partidos Judiciales  CACERES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9.5238095238095233E-2</v>
      </c>
      <c r="E10" s="358">
        <f>IF(ISNUMBER((Datos!J10-Datos!T10)/Datos!T10),(Datos!J10-Datos!T10)/Datos!T10," - ")</f>
        <v>1.0769230769230769</v>
      </c>
      <c r="F10" s="358">
        <f>IF(ISNUMBER((Datos!K10-Datos!U10)/Datos!U10),(Datos!K10-Datos!U10)/Datos!U10," - ")</f>
        <v>-0.22222222222222221</v>
      </c>
      <c r="G10" s="359">
        <f>IF(ISNUMBER((Datos!L10-Datos!V10)/Datos!V10),(Datos!L10-Datos!V10)/Datos!V10," - ")</f>
        <v>0.8571428571428571</v>
      </c>
      <c r="H10" s="235">
        <f>IF(ISNUMBER((Datos!M10-Datos!W10)/Datos!W10),(Datos!M10-Datos!W10)/Datos!W10," - ")</f>
        <v>-0.15384615384615385</v>
      </c>
      <c r="I10" s="360">
        <f>IF(ISNUMBER((Tasas!C10-Datos!BE10)/Datos!BE10),(Tasas!C10-Datos!BE10)/Datos!BE10," - ")</f>
        <v>1.3877551020408165</v>
      </c>
      <c r="J10" s="359">
        <f>IF(ISNUMBER((Tasas!D10-Datos!BF10)/Datos!BF10),(Tasas!D10-Datos!BF10)/Datos!BF10," - ")</f>
        <v>8.791208791208803E-2</v>
      </c>
      <c r="K10" s="361">
        <f>IF(ISNUMBER((Tasas!E10-Datos!BG10)/Datos!BG10),(Tasas!E10-Datos!BG10)/Datos!BG10," - ")</f>
        <v>0.7064935064935064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21.692307692307693</v>
      </c>
      <c r="I14" s="367">
        <f>IF(ISNUMBER((Tasas!C14-Datos!BE14)/Datos!BE14),(Tasas!C14-Datos!BE14)/Datos!BE14," - ")</f>
        <v>3.1307515337423313</v>
      </c>
      <c r="J14" s="365">
        <f>IF(ISNUMBER((Tasas!D14-Datos!BF14)/Datos!BF14),(Tasas!D14-Datos!BF14)/Datos!BF14," - ")</f>
        <v>-6.0287871637564841E-2</v>
      </c>
      <c r="K14" s="368">
        <f>IF(ISNUMBER((Tasas!E14-Datos!BG14)/Datos!BG14),(Tasas!E14-Datos!BG14)/Datos!BG14," - ")</f>
        <v>1.6638594534300055</v>
      </c>
      <c r="M14" t="e">
        <f>IF(Monitorios="SI",Datos!CE14,0)</f>
        <v>#REF!</v>
      </c>
      <c r="N14" t="e">
        <f>IF(Monitorios="SI",Datos!CF14,0)</f>
        <v>#REF!</v>
      </c>
      <c r="O14" t="e">
        <f>IF(Monitorios="SI",Datos!CG14,0)</f>
        <v>#REF!</v>
      </c>
      <c r="P14" t="e">
        <f>IF(Monitorios="SI",Datos!CH14,0)</f>
        <v>#REF!</v>
      </c>
      <c r="Q14">
        <f>IF(J_V="SI",0,Datos!AG14)</f>
        <v>0</v>
      </c>
      <c r="R14">
        <f>IF(J_V="SI",0,Datos!AH14)</f>
        <v>0</v>
      </c>
      <c r="S14">
        <f>IF(J_V="SI",0,Datos!AI14)</f>
        <v>0</v>
      </c>
      <c r="T14">
        <f>IF(J_V="SI",0,Datos!AJ14)</f>
        <v>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0.43956043956043955</v>
      </c>
      <c r="E18" s="358">
        <f>IF(ISNUMBER(
   IF(D_I="SI",(Datos!J18-Datos!T18)/Datos!T18,(Datos!J18+Datos!AD18-(Datos!T18+Datos!AL18))/(Datos!T18+Datos!AL18))
     ),IF(D_I="SI",(Datos!J18-Datos!T18)/Datos!T18,(Datos!J18+Datos!AD18-(Datos!T18+Datos!AL18))/(Datos!T18+Datos!AL18))," - ")</f>
        <v>2.8476190476190477</v>
      </c>
      <c r="F18" s="358">
        <f>IF(ISNUMBER(
   IF(D_I="SI",(Datos!K18-Datos!U18)/Datos!U18,(Datos!K18+Datos!AE18-(Datos!U18+Datos!AM18))/(Datos!U18+Datos!AM18))
     ),IF(D_I="SI",(Datos!K18-Datos!U18)/Datos!U18,(Datos!K18+Datos!AE18-(Datos!U18+Datos!AM18))/(Datos!U18+Datos!AM18))," - ")</f>
        <v>2.8163265306122449</v>
      </c>
      <c r="G18" s="359">
        <f>IF(ISNUMBER(
   IF(D_I="SI",(Datos!L18-Datos!V18)/Datos!V18,(Datos!L18+Datos!AF18-(Datos!V18+Datos!AN18))/(Datos!V18+Datos!AN18))
     ),IF(D_I="SI",(Datos!L18-Datos!V18)/Datos!V18,(Datos!L18+Datos!AF18-(Datos!V18+Datos!AN18))/(Datos!V18+Datos!AN18))," - ")</f>
        <v>0.28282828282828282</v>
      </c>
      <c r="H18" s="235">
        <f>IF(ISNUMBER((Datos!M18-Datos!W18)/Datos!W18),(Datos!M18-Datos!W18)/Datos!W18," - ")</f>
        <v>4.2307692307692308</v>
      </c>
      <c r="I18" s="360">
        <f>IF(ISNUMBER((Tasas!C18-Datos!BE18)/Datos!BE18),(Tasas!C18-Datos!BE18)/Datos!BE18," - ")</f>
        <v>-0.66385782963323059</v>
      </c>
      <c r="J18" s="359">
        <f>IF(ISNUMBER((Tasas!D18-Datos!BF18)/Datos!BF18),(Tasas!D18-Datos!BF18)/Datos!BF18," - ")</f>
        <v>0.37062937062937057</v>
      </c>
      <c r="K18" s="361">
        <f>IF(ISNUMBER((Tasas!E18-Datos!BG18)/Datos!BG18),(Tasas!E18-Datos!BG18)/Datos!BG18," - ")</f>
        <v>-0.28475935828877008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8.7472527472527464</v>
      </c>
      <c r="E20" s="364">
        <f>IF(ISNUMBER(
   IF(D_I="SI",(Datos!J20-Datos!T20)/Datos!T20,(Datos!J20+Datos!AD20-(Datos!T20+Datos!AL20))/(Datos!T20+Datos!AL20))
     ),IF(D_I="SI",(Datos!J20-Datos!T20)/Datos!T20,(Datos!J20+Datos!AD20-(Datos!T20+Datos!AL20))/(Datos!T20+Datos!AL20))," - ")</f>
        <v>13.438095238095238</v>
      </c>
      <c r="F20" s="364">
        <f>IF(ISNUMBER(
   IF(D_I="SI",(Datos!K20-Datos!U20)/Datos!U20,(Datos!K20+Datos!AE20-(Datos!U20+Datos!AM20))/(Datos!U20+Datos!AM20))
     ),IF(D_I="SI",(Datos!K20-Datos!U20)/Datos!U20,(Datos!K20+Datos!AE20-(Datos!U20+Datos!AM20))/(Datos!U20+Datos!AM20))," - ")</f>
        <v>10.826530612244898</v>
      </c>
      <c r="G20" s="365">
        <f>IF(ISNUMBER(
   IF(D_I="SI",(Datos!L20-Datos!V20)/Datos!V20,(Datos!L20+Datos!AF20-(Datos!V20+Datos!AN20))/(Datos!V20+Datos!AN20))
     ),IF(D_I="SI",(Datos!L20-Datos!V20)/Datos!V20,(Datos!L20+Datos!AF20-(Datos!V20+Datos!AN20))/(Datos!V20+Datos!AN20))," - ")</f>
        <v>11.222222222222221</v>
      </c>
      <c r="H20" s="366">
        <f>IF(ISNUMBER((Datos!M20-Datos!W20)/Datos!W20),(Datos!M20-Datos!W20)/Datos!W20," - ")</f>
        <v>9.5384615384615383</v>
      </c>
      <c r="I20" s="367">
        <f>IF(ISNUMBER((Tasas!C20-Datos!BE20)/Datos!BE20),(Tasas!C20-Datos!BE20)/Datos!BE20," - ")</f>
        <v>3.3457961844502067E-2</v>
      </c>
      <c r="J20" s="365">
        <f>IF(ISNUMBER((Tasas!D20-Datos!BF20)/Datos!BF20),(Tasas!D20-Datos!BF20)/Datos!BF20," - ")</f>
        <v>-0.10891351961239801</v>
      </c>
      <c r="K20" s="368">
        <f>IF(ISNUMBER((Tasas!E20-Datos!BG20)/Datos!BG20),(Tasas!E20-Datos!BG20)/Datos!BG20," - ")</f>
        <v>3.6669542709232061E-2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20.789473684210527</v>
      </c>
      <c r="E21" s="373">
        <f>IF(ISNUMBER(
   IF(J_V="SI",(Datos!J21-Datos!T21)/Datos!T21,(Datos!J21+Datos!Z21-(Datos!T21+Datos!AH21))/(Datos!T21+Datos!AH21))
     ),IF(J_V="SI",(Datos!J21-Datos!T21)/Datos!T21,(Datos!J21+Datos!Z21-(Datos!T21+Datos!AH21))/(Datos!T21+Datos!AH21))," - ")</f>
        <v>24.788135593220339</v>
      </c>
      <c r="F21" s="373">
        <f>IF(ISNUMBER(
   IF(J_V="SI",(Datos!K21-Datos!U21)/Datos!U21,(Datos!K21+Datos!AA21-(Datos!U21+Datos!AI21))/(Datos!U21+Datos!AI21))
     ),IF(J_V="SI",(Datos!K21-Datos!U21)/Datos!U21,(Datos!K21+Datos!AA21-(Datos!U21+Datos!AI21))/(Datos!U21+Datos!AI21))," - ")</f>
        <v>13.488</v>
      </c>
      <c r="G21" s="374">
        <f>IF(ISNUMBER(
   IF(J_V="SI",(Datos!L21-Datos!V21)/Datos!V21,(Datos!L21+Datos!AB21-(Datos!V21+Datos!AJ21))/(Datos!V21+Datos!AJ21))
     ),IF(J_V="SI",(Datos!L21-Datos!V21)/Datos!V21,(Datos!L21+Datos!AB21-(Datos!V21+Datos!AJ21))/(Datos!V21+Datos!AJ21))," - ")</f>
        <v>30.519685039370078</v>
      </c>
      <c r="H21" s="375">
        <f>IF(ISNUMBER((Datos!M21-Datos!W21)/Datos!W21),(Datos!M21-Datos!W21)/Datos!W21," - ")</f>
        <v>15.615384615384615</v>
      </c>
      <c r="I21" s="372">
        <f>IF(ISNUMBER((Tasas!C21-Datos!BE21)/Datos!BE21),(Tasas!C21-Datos!BE21)/Datos!BE21," - ")</f>
        <v>1.1755718552850689</v>
      </c>
      <c r="J21" s="373">
        <f>IF(ISNUMBER((Tasas!D21-Datos!BF21)/Datos!BF21),(Tasas!D21-Datos!BF21)/Datos!BF21," - ")</f>
        <v>0.14683770122754114</v>
      </c>
      <c r="K21" s="374">
        <f>IF(ISNUMBER((Tasas!E21-Datos!BG21)/Datos!BG21),(Tasas!E21-Datos!BG21)/Datos!BG21," - ")</f>
        <v>0.63371912680586329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4.8988717560741435</v>
      </c>
      <c r="E23" s="283">
        <f t="shared" si="1"/>
        <v>6.6844611769862654</v>
      </c>
      <c r="F23" s="283">
        <f t="shared" si="1"/>
        <v>5.7077591509263588</v>
      </c>
      <c r="G23" s="284">
        <f t="shared" si="1"/>
        <v>6.1567719793724285</v>
      </c>
      <c r="H23" s="290">
        <f t="shared" si="1"/>
        <v>9.4481612750465871</v>
      </c>
      <c r="I23" s="282">
        <f t="shared" si="1"/>
        <v>1.6723189969436061</v>
      </c>
      <c r="J23" s="283">
        <f t="shared" si="1"/>
        <v>0.21576378222496928</v>
      </c>
      <c r="K23" s="284">
        <f t="shared" si="1"/>
        <v>0.8610059406533791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NAd2YjPzrbQIGiBwPvuM4TS+bWWTlR4gdTNKzKiNXO/G3+NZRQlKgIwArcFnxllX49IpIowxuk5fn3iVzuNNA==" saltValue="+8WyQHr+d9EsjryHigTul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